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trutz/Dropbox/Projekte/Amazon Rechner/DE/"/>
    </mc:Choice>
  </mc:AlternateContent>
  <bookViews>
    <workbookView xWindow="0" yWindow="460" windowWidth="38400" windowHeight="20180"/>
  </bookViews>
  <sheets>
    <sheet name="Hinweise" sheetId="7" r:id="rId1"/>
    <sheet name="Einkauf" sheetId="4" r:id="rId2"/>
    <sheet name="FBA" sheetId="1" r:id="rId3"/>
    <sheet name="Verkauf (netto)" sheetId="5" r:id="rId4"/>
    <sheet name="Verkauf (KU)" sheetId="9" r:id="rId5"/>
    <sheet name="Auswirkung Retouren" sheetId="8" r:id="rId6"/>
    <sheet name="Verkaufsprovisionen" sheetId="6" r:id="rId7"/>
    <sheet name="FBA Kosten" sheetId="2" r:id="rId8"/>
    <sheet name="DropDown" sheetId="3" r:id="rId9"/>
  </sheets>
  <definedNames>
    <definedName name="AbmessungenInCm">FBA!$B$8:$B$10</definedName>
    <definedName name="AmazonGröße">FBA!$B$21</definedName>
    <definedName name="Bestellmenge">Einkauf!$B$6</definedName>
    <definedName name="Breite">FBA!$B$9</definedName>
    <definedName name="Gewicht">FBA!$B$6</definedName>
    <definedName name="Gurtmaß">FBA!$B$12</definedName>
    <definedName name="Höhe">FBA!$B$10</definedName>
    <definedName name="LagergebührQbmMonat">'FBA Kosten'!$B$2</definedName>
    <definedName name="Länge">FBA!$B$8</definedName>
    <definedName name="Produktart">FBA!$B$4</definedName>
    <definedName name="StdOdÜbergr">FBA!$B$21</definedName>
    <definedName name="Volumen">FBA!$B$11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9" i="1"/>
  <c r="E17" i="9"/>
  <c r="E9" i="9"/>
  <c r="E8" i="9"/>
  <c r="E4" i="9"/>
  <c r="A17" i="9"/>
  <c r="B17" i="9"/>
  <c r="B9" i="9"/>
  <c r="C9" i="9"/>
  <c r="B7" i="9"/>
  <c r="B8" i="9"/>
  <c r="C4" i="9"/>
  <c r="D3" i="9"/>
  <c r="D9" i="9"/>
  <c r="D4" i="9"/>
  <c r="D8" i="9"/>
  <c r="C8" i="9"/>
  <c r="H27" i="2"/>
  <c r="I27" i="2"/>
  <c r="J27" i="2"/>
  <c r="K27" i="2"/>
  <c r="L27" i="2"/>
  <c r="M27" i="2"/>
  <c r="N27" i="2"/>
  <c r="B8" i="4"/>
  <c r="A19" i="8"/>
  <c r="A11" i="8"/>
  <c r="A12" i="8"/>
  <c r="A20" i="8"/>
  <c r="A21" i="8"/>
  <c r="A13" i="8"/>
  <c r="A14" i="8"/>
  <c r="A22" i="8"/>
  <c r="B9" i="4"/>
  <c r="D3" i="5"/>
  <c r="B17" i="1"/>
  <c r="B16" i="1"/>
  <c r="A19" i="1"/>
  <c r="A23" i="8"/>
  <c r="A15" i="8"/>
  <c r="D4" i="5"/>
  <c r="B9" i="5"/>
  <c r="B10" i="5"/>
  <c r="C4" i="5"/>
  <c r="B11" i="5"/>
  <c r="C11" i="5"/>
  <c r="B6" i="5"/>
  <c r="C6" i="5"/>
  <c r="B11" i="4"/>
  <c r="C8" i="4"/>
  <c r="C9" i="4"/>
  <c r="C13" i="4"/>
  <c r="C14" i="4"/>
  <c r="B14" i="4"/>
  <c r="C33" i="1"/>
  <c r="C33" i="2" a="1"/>
  <c r="C33" i="2"/>
  <c r="H21" i="2"/>
  <c r="I21" i="2"/>
  <c r="J21" i="2"/>
  <c r="K21" i="2"/>
  <c r="L21" i="2"/>
  <c r="M21" i="2"/>
  <c r="N21" i="2"/>
  <c r="O21" i="2"/>
  <c r="P21" i="2"/>
  <c r="Q21" i="2"/>
  <c r="H15" i="2"/>
  <c r="I15" i="2"/>
  <c r="J15" i="2"/>
  <c r="K15" i="2"/>
  <c r="L15" i="2"/>
  <c r="M15" i="2"/>
  <c r="N15" i="2"/>
  <c r="O15" i="2"/>
  <c r="P15" i="2"/>
  <c r="Q15" i="2"/>
  <c r="B21" i="1"/>
  <c r="B12" i="1"/>
  <c r="B13" i="1"/>
  <c r="B11" i="1"/>
  <c r="B22" i="1"/>
  <c r="B23" i="1"/>
  <c r="B24" i="1"/>
  <c r="D10" i="5"/>
  <c r="C10" i="8"/>
  <c r="C14" i="8"/>
  <c r="C18" i="8"/>
  <c r="C22" i="8"/>
  <c r="C26" i="8"/>
  <c r="C30" i="8"/>
  <c r="C21" i="8"/>
  <c r="C9" i="8"/>
  <c r="C11" i="8"/>
  <c r="C15" i="8"/>
  <c r="C19" i="8"/>
  <c r="C23" i="8"/>
  <c r="C27" i="8"/>
  <c r="C31" i="8"/>
  <c r="C13" i="8"/>
  <c r="C29" i="8"/>
  <c r="C12" i="8"/>
  <c r="C16" i="8"/>
  <c r="C20" i="8"/>
  <c r="C24" i="8"/>
  <c r="C28" i="8"/>
  <c r="C32" i="8"/>
  <c r="C17" i="8"/>
  <c r="C25" i="8"/>
  <c r="D11" i="5"/>
  <c r="A16" i="8"/>
  <c r="A24" i="8"/>
  <c r="D6" i="5"/>
  <c r="B13" i="4"/>
  <c r="E11" i="5"/>
  <c r="E6" i="5"/>
  <c r="C10" i="5"/>
  <c r="E10" i="5"/>
  <c r="C16" i="4"/>
  <c r="C18" i="4"/>
  <c r="B18" i="4"/>
  <c r="C35" i="1"/>
  <c r="C36" i="1"/>
  <c r="C34" i="1"/>
  <c r="C37" i="1"/>
  <c r="B15" i="1"/>
  <c r="B29" i="1" a="1"/>
  <c r="B29" i="1"/>
  <c r="B27" i="1" a="1"/>
  <c r="B27" i="1"/>
  <c r="B31" i="1"/>
  <c r="E16" i="8"/>
  <c r="B28" i="1" a="1"/>
  <c r="B28" i="1"/>
  <c r="B15" i="8"/>
  <c r="B23" i="8"/>
  <c r="B17" i="5"/>
  <c r="D17" i="5"/>
  <c r="B10" i="8"/>
  <c r="B18" i="8"/>
  <c r="B9" i="8"/>
  <c r="B11" i="8"/>
  <c r="B19" i="8"/>
  <c r="B20" i="8"/>
  <c r="B12" i="8"/>
  <c r="B13" i="8"/>
  <c r="B21" i="8"/>
  <c r="B22" i="8"/>
  <c r="B14" i="8"/>
  <c r="A25" i="8"/>
  <c r="B24" i="8"/>
  <c r="A17" i="8"/>
  <c r="B16" i="8"/>
  <c r="B19" i="1"/>
  <c r="B18" i="1"/>
  <c r="C19" i="4"/>
  <c r="B19" i="4"/>
  <c r="C13" i="5"/>
  <c r="C11" i="9"/>
  <c r="D13" i="5"/>
  <c r="B13" i="5"/>
  <c r="D11" i="9"/>
  <c r="B11" i="9"/>
  <c r="C17" i="5"/>
  <c r="E17" i="5"/>
  <c r="C17" i="9"/>
  <c r="D17" i="9"/>
  <c r="E18" i="8"/>
  <c r="E9" i="8"/>
  <c r="E10" i="8"/>
  <c r="E11" i="8"/>
  <c r="E19" i="8"/>
  <c r="E20" i="8"/>
  <c r="E12" i="8"/>
  <c r="E21" i="8"/>
  <c r="E13" i="8"/>
  <c r="E14" i="8"/>
  <c r="E22" i="8"/>
  <c r="E23" i="8"/>
  <c r="E15" i="8"/>
  <c r="E24" i="8"/>
  <c r="B17" i="8"/>
  <c r="E17" i="8"/>
  <c r="B25" i="8"/>
  <c r="E25" i="8"/>
  <c r="A26" i="8"/>
  <c r="B40" i="1"/>
  <c r="B12" i="5"/>
  <c r="B14" i="5"/>
  <c r="D14" i="5"/>
  <c r="B10" i="9"/>
  <c r="E10" i="9"/>
  <c r="A27" i="8"/>
  <c r="E26" i="8"/>
  <c r="B26" i="8"/>
  <c r="C12" i="5"/>
  <c r="E12" i="5"/>
  <c r="D12" i="5"/>
  <c r="D10" i="9"/>
  <c r="C10" i="9"/>
  <c r="B12" i="9"/>
  <c r="E27" i="8"/>
  <c r="B27" i="8"/>
  <c r="A28" i="8"/>
  <c r="B16" i="5"/>
  <c r="D16" i="5"/>
  <c r="C14" i="5"/>
  <c r="E14" i="5"/>
  <c r="B13" i="9"/>
  <c r="B14" i="9"/>
  <c r="C12" i="9"/>
  <c r="D12" i="9"/>
  <c r="D13" i="9"/>
  <c r="D14" i="9"/>
  <c r="E28" i="8"/>
  <c r="B28" i="8"/>
  <c r="A29" i="8"/>
  <c r="C16" i="5"/>
  <c r="E16" i="5"/>
  <c r="B18" i="5"/>
  <c r="B16" i="9"/>
  <c r="E16" i="9"/>
  <c r="E14" i="9"/>
  <c r="C13" i="9"/>
  <c r="C14" i="9"/>
  <c r="E29" i="8"/>
  <c r="B29" i="8"/>
  <c r="A30" i="8"/>
  <c r="B20" i="5"/>
  <c r="D18" i="5"/>
  <c r="B21" i="5"/>
  <c r="C18" i="5"/>
  <c r="E18" i="5"/>
  <c r="D16" i="9"/>
  <c r="C16" i="9"/>
  <c r="B18" i="9"/>
  <c r="E18" i="9"/>
  <c r="D9" i="8"/>
  <c r="F9" i="8"/>
  <c r="D18" i="8"/>
  <c r="F18" i="8"/>
  <c r="D10" i="8"/>
  <c r="F10" i="8"/>
  <c r="D11" i="8"/>
  <c r="F11" i="8"/>
  <c r="D19" i="8"/>
  <c r="F19" i="8"/>
  <c r="D12" i="8"/>
  <c r="F12" i="8"/>
  <c r="D20" i="8"/>
  <c r="F20" i="8"/>
  <c r="D13" i="8"/>
  <c r="F13" i="8"/>
  <c r="D21" i="8"/>
  <c r="F21" i="8"/>
  <c r="D14" i="8"/>
  <c r="F14" i="8"/>
  <c r="D22" i="8"/>
  <c r="F22" i="8"/>
  <c r="D15" i="8"/>
  <c r="F15" i="8"/>
  <c r="D23" i="8"/>
  <c r="F23" i="8"/>
  <c r="D24" i="8"/>
  <c r="F24" i="8"/>
  <c r="D16" i="8"/>
  <c r="F16" i="8"/>
  <c r="D25" i="8"/>
  <c r="F25" i="8"/>
  <c r="D17" i="8"/>
  <c r="F17" i="8"/>
  <c r="D26" i="8"/>
  <c r="F26" i="8"/>
  <c r="D27" i="8"/>
  <c r="F27" i="8"/>
  <c r="D28" i="8"/>
  <c r="F28" i="8"/>
  <c r="D29" i="8"/>
  <c r="F29" i="8"/>
  <c r="E30" i="8"/>
  <c r="B30" i="8"/>
  <c r="D30" i="8"/>
  <c r="A31" i="8"/>
  <c r="C18" i="9"/>
  <c r="B20" i="9"/>
  <c r="D18" i="9"/>
  <c r="B21" i="9"/>
  <c r="E31" i="8"/>
  <c r="B31" i="8"/>
  <c r="D31" i="8"/>
  <c r="A32" i="8"/>
  <c r="F30" i="8"/>
  <c r="E32" i="8"/>
  <c r="B32" i="8"/>
  <c r="F31" i="8"/>
  <c r="D32" i="8"/>
  <c r="F32" i="8"/>
</calcChain>
</file>

<file path=xl/comments1.xml><?xml version="1.0" encoding="utf-8"?>
<comments xmlns="http://schemas.openxmlformats.org/spreadsheetml/2006/main">
  <authors>
    <author>Trutz</author>
  </authors>
  <commentList>
    <comment ref="A9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Formel kann auch überschrieben werden, falls der EK in EUR vorliegt</t>
        </r>
      </text>
    </comment>
  </commentList>
</comments>
</file>

<file path=xl/comments2.xml><?xml version="1.0" encoding="utf-8"?>
<comments xmlns="http://schemas.openxmlformats.org/spreadsheetml/2006/main">
  <authors>
    <author>Trutz</author>
  </authors>
  <commentList>
    <comment ref="A13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Prüft Gewicht und Gurtmaß</t>
        </r>
      </text>
    </comment>
    <comment ref="A26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Zwischenberechnung</t>
        </r>
      </text>
    </comment>
  </commentList>
</comments>
</file>

<file path=xl/comments3.xml><?xml version="1.0" encoding="utf-8"?>
<comments xmlns="http://schemas.openxmlformats.org/spreadsheetml/2006/main">
  <authors>
    <author>Trutz</author>
  </authors>
  <commentList>
    <comment ref="A12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Siehe Blatt FBA</t>
        </r>
      </text>
    </comment>
    <comment ref="A17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Siehe Blatt Einkauf</t>
        </r>
      </text>
    </comment>
  </commentList>
</comments>
</file>

<file path=xl/comments4.xml><?xml version="1.0" encoding="utf-8"?>
<comments xmlns="http://schemas.openxmlformats.org/spreadsheetml/2006/main">
  <authors>
    <author>Trutz</author>
  </authors>
  <commentList>
    <comment ref="A10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Siehe Blatt FBA</t>
        </r>
      </text>
    </comment>
    <comment ref="A17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Siehe Blatt Einkauf</t>
        </r>
      </text>
    </comment>
  </commentList>
</comments>
</file>

<file path=xl/comments5.xml><?xml version="1.0" encoding="utf-8"?>
<comments xmlns="http://schemas.openxmlformats.org/spreadsheetml/2006/main">
  <authors>
    <author>Trutz</author>
  </authors>
  <commentList>
    <comment ref="A2" authorId="0">
      <text>
        <r>
          <rPr>
            <b/>
            <sz val="9"/>
            <color indexed="81"/>
            <rFont val="Segoe UI"/>
            <family val="2"/>
          </rPr>
          <t>Trutz:</t>
        </r>
        <r>
          <rPr>
            <sz val="9"/>
            <color indexed="81"/>
            <rFont val="Segoe UI"/>
            <family val="2"/>
          </rPr>
          <t xml:space="preserve">
Gewichtetes Mittel Jan-Dez</t>
        </r>
      </text>
    </comment>
  </commentList>
</comments>
</file>

<file path=xl/sharedStrings.xml><?xml version="1.0" encoding="utf-8"?>
<sst xmlns="http://schemas.openxmlformats.org/spreadsheetml/2006/main" count="209" uniqueCount="163">
  <si>
    <t>Lagergebühr pro Kubikmeter und Monat</t>
  </si>
  <si>
    <t>Produkt</t>
  </si>
  <si>
    <t>Länge</t>
  </si>
  <si>
    <t>Breite</t>
  </si>
  <si>
    <t>Gewicht</t>
  </si>
  <si>
    <t>Volumen</t>
  </si>
  <si>
    <t>cm</t>
  </si>
  <si>
    <t>m³</t>
  </si>
  <si>
    <t>Gramm</t>
  </si>
  <si>
    <t>Lagerkosten pro Monat pro Artikel</t>
  </si>
  <si>
    <t>Euro</t>
  </si>
  <si>
    <t>Produktart</t>
  </si>
  <si>
    <t>Medienprodukt</t>
  </si>
  <si>
    <t>Nicht-Medienprodukt</t>
  </si>
  <si>
    <t>Höhe</t>
  </si>
  <si>
    <t>Verpackungstyp</t>
  </si>
  <si>
    <t>Kleiner Briefumschlag</t>
  </si>
  <si>
    <t>Standard Briefumschlag</t>
  </si>
  <si>
    <t>Großer Briefumschlag</t>
  </si>
  <si>
    <t>Länge cm</t>
  </si>
  <si>
    <t>Breite cm</t>
  </si>
  <si>
    <t>Höhe cm</t>
  </si>
  <si>
    <t>Gewicht Verpackung in g</t>
  </si>
  <si>
    <t>in EUR</t>
  </si>
  <si>
    <t>Lagergebühr</t>
  </si>
  <si>
    <t>Verpackungsgewicht</t>
  </si>
  <si>
    <t>Gewicht Produkt inkl. Verpackung</t>
  </si>
  <si>
    <t>Kleine Übergröße</t>
  </si>
  <si>
    <t>Standard Übergröße</t>
  </si>
  <si>
    <t>Große Übergröße</t>
  </si>
  <si>
    <t>Maximales Gurtmaß f. gr. Übergroße in cm</t>
  </si>
  <si>
    <t>Gurtmaß</t>
  </si>
  <si>
    <t>Übergröße</t>
  </si>
  <si>
    <t>Versand via Amazon möglich?</t>
  </si>
  <si>
    <t>Standard- oder Übergröße?</t>
  </si>
  <si>
    <t>g</t>
  </si>
  <si>
    <t>Paket</t>
  </si>
  <si>
    <t>Versandkosten</t>
  </si>
  <si>
    <t>Nicht-Medien Produkt Standardgröße</t>
  </si>
  <si>
    <t>Medienprodukt Standardgröße</t>
  </si>
  <si>
    <t>Gewichtsklasse</t>
  </si>
  <si>
    <t>Standard: Nicht-Medienprodukte</t>
  </si>
  <si>
    <t>Standard: Medienprodukte</t>
  </si>
  <si>
    <t>Übergröße: Alle Produkte</t>
  </si>
  <si>
    <t>Bitte auswählen</t>
  </si>
  <si>
    <t>Ja/Nein</t>
  </si>
  <si>
    <t>Amazon Ettikettierservice</t>
  </si>
  <si>
    <t>Verpackung in Folienbeutel</t>
  </si>
  <si>
    <t>Verpackung in Lufpolsterfolie</t>
  </si>
  <si>
    <t>Verpackung mit Klebeband</t>
  </si>
  <si>
    <t>Verpackung undurchsichtig</t>
  </si>
  <si>
    <t>Ja</t>
  </si>
  <si>
    <t>Nein</t>
  </si>
  <si>
    <t>Zusätzliche Kosten Amazon</t>
  </si>
  <si>
    <t>Versandkosten + Zusatzkosten</t>
  </si>
  <si>
    <t>Einkauf</t>
  </si>
  <si>
    <t>Pro Stück</t>
  </si>
  <si>
    <t>Gesamt</t>
  </si>
  <si>
    <t>Aktueller EUR/USD Kurs</t>
  </si>
  <si>
    <t>USD</t>
  </si>
  <si>
    <t>Bestellmenge</t>
  </si>
  <si>
    <t>Kosten Artikel USD</t>
  </si>
  <si>
    <t>Kosten Artikel EUR</t>
  </si>
  <si>
    <t>Frachtkosten</t>
  </si>
  <si>
    <t>in %</t>
  </si>
  <si>
    <t>Zollwert (Einkauf + Fracht)</t>
  </si>
  <si>
    <t>Zoll</t>
  </si>
  <si>
    <t>Verkaufspreis brutto</t>
  </si>
  <si>
    <t>Mehrwertsteuersatz</t>
  </si>
  <si>
    <t>Verkaufspreis netto</t>
  </si>
  <si>
    <t>Kategorie Amazon</t>
  </si>
  <si>
    <t>Amazon Verkaufsprovision in %</t>
  </si>
  <si>
    <t>FBA-Gebühr</t>
  </si>
  <si>
    <t>Nettoerlös</t>
  </si>
  <si>
    <t>Kategorien</t>
  </si>
  <si>
    <t>Verkaufsgebühr</t>
  </si>
  <si>
    <t>Gültige Mindestverkaufsgebühr (wird pro Artikel erhoben, wenn nicht anders angegeben)</t>
  </si>
  <si>
    <t>Auto &amp; Motorrad</t>
  </si>
  <si>
    <t>Baumarkt</t>
  </si>
  <si>
    <t>Bücher, Musik, VHS, DVD</t>
  </si>
  <si>
    <t>Computer</t>
  </si>
  <si>
    <t>Elektronik</t>
  </si>
  <si>
    <t>Elektro-Großgeräte </t>
  </si>
  <si>
    <t>Fahrräder</t>
  </si>
  <si>
    <t>Musikinstrumente &amp; DJ-Equipment</t>
  </si>
  <si>
    <t>Reifen</t>
  </si>
  <si>
    <t>Software, Videospiele</t>
  </si>
  <si>
    <t>Sport &amp; Freizeit</t>
  </si>
  <si>
    <t>Videospielkonsolen</t>
  </si>
  <si>
    <t>Zubehör für Amazon-Geräte</t>
  </si>
  <si>
    <t>Alles andere</t>
  </si>
  <si>
    <t>Bier &amp; Wein*</t>
  </si>
  <si>
    <t>Computer-Zubehör*</t>
  </si>
  <si>
    <t>Elektronik-Zubehör*</t>
  </si>
  <si>
    <t>Lebensmittel*</t>
  </si>
  <si>
    <t>Schmuck*</t>
  </si>
  <si>
    <t>Spirituosen*</t>
  </si>
  <si>
    <t>Uhren*</t>
  </si>
  <si>
    <t>* Der Verkauf in diesen Produktkategorien muss zunächst von Amazon.de genehmigt werden</t>
  </si>
  <si>
    <t>Kategorie</t>
  </si>
  <si>
    <t>Variable Abschlussgebühr (exkl. Umsatzsteuer)</t>
  </si>
  <si>
    <t>Deutschland Standardversand</t>
  </si>
  <si>
    <t>Deutschland Expressversand</t>
  </si>
  <si>
    <t>Übriges Europa</t>
  </si>
  <si>
    <t>Andere Länder weltweit</t>
  </si>
  <si>
    <t>Bücher</t>
  </si>
  <si>
    <t>Musik</t>
  </si>
  <si>
    <t>Videos (VHS)</t>
  </si>
  <si>
    <t>DVDs</t>
  </si>
  <si>
    <t>EU, Schweiz, Liechten-stein</t>
  </si>
  <si>
    <t>Variable Abschlussgebühr</t>
  </si>
  <si>
    <t>Pro Monat</t>
  </si>
  <si>
    <t>Nettogewinn</t>
  </si>
  <si>
    <t>EZT online</t>
  </si>
  <si>
    <t>TARIC</t>
  </si>
  <si>
    <t>FBA</t>
  </si>
  <si>
    <t>Anleitung</t>
  </si>
  <si>
    <t>1. Das Formular gilt derzeit nur für den Versand in DE</t>
  </si>
  <si>
    <t>Das ist ein Eingabefeld</t>
  </si>
  <si>
    <t>Das ist ein brechnetes Feld</t>
  </si>
  <si>
    <t>4. In den Blättern "Verkaufsprovision", "DropDown" und "FBA Kosten" bitte keine Änderungen vornehmen</t>
  </si>
  <si>
    <t>Das ist das Endergebnisfeld</t>
  </si>
  <si>
    <t>Absatzdauer in Monaten</t>
  </si>
  <si>
    <t>Monate</t>
  </si>
  <si>
    <t>Durchschnittlicher Lagerbestand</t>
  </si>
  <si>
    <t>Durchschn. Lagerkosten pro Monat</t>
  </si>
  <si>
    <t>Dieser Wert stammt aus einem anderen Blatt</t>
  </si>
  <si>
    <t>Einfuhrkosten netto (Ware+Fracht+Zoll)</t>
  </si>
  <si>
    <t>Einfuhrkosten brutto (inkl. EinfUSt.)</t>
  </si>
  <si>
    <t>Auswirkung Retourenquote</t>
  </si>
  <si>
    <t>Anteil defekter Retouren</t>
  </si>
  <si>
    <t>Verlust in € (gem. EK)</t>
  </si>
  <si>
    <t>Ggfs. 
Rücksende-kosten</t>
  </si>
  <si>
    <t>Gesamtgewinn nach Abzug Warenwert und Rücksendekosten</t>
  </si>
  <si>
    <t xml:space="preserve">Hier wird die Auswirkung zurückgeschickter Artikel simuliert, die Amazon als "defekt" markiert und nicht wieder in den Verkauf gehen. </t>
  </si>
  <si>
    <t>Die Kalkulation bezieht sich auf die gesamte Bestellmenge</t>
  </si>
  <si>
    <t>5. Bei der Lagergebühr wird mit einem gewichteten Mittelwert gearbeitet</t>
  </si>
  <si>
    <t>Verkaufte Menge</t>
  </si>
  <si>
    <t>Erstattung Verkaufs-provision</t>
  </si>
  <si>
    <t xml:space="preserve"> findet sich im "AMAZON SERVICES EUROPE BUSINESS SOLUTIONS VERTRAG" (siehe SC)</t>
  </si>
  <si>
    <t>Korrigierter Gesamtgewinn</t>
  </si>
  <si>
    <t>Amazon Verkaufsprovision in €</t>
  </si>
  <si>
    <t>Annahme Erstattungsgebühren (Minimum aus)</t>
  </si>
  <si>
    <t>Stückkosten</t>
  </si>
  <si>
    <t>Amazon Kosten</t>
  </si>
  <si>
    <t>2. Es gilt die Annahme, dass der Verkäufer vorsteuerabzugsberechtigt ist. Alle Betrachtungen sind reine Netto-Betrachtungen.</t>
  </si>
  <si>
    <t>3. Alle Felder mit orangem Hintergrund (s.u.) müssen gefüllt werden</t>
  </si>
  <si>
    <t>Einfuhrumsatzsteuer (wird nicht weiter betrachtet)</t>
  </si>
  <si>
    <t>Marge (bez. a. d. VK)</t>
  </si>
  <si>
    <t>Handelsspanne (bez. a. d. EK)</t>
  </si>
  <si>
    <t>Zollsatz ermitteln</t>
  </si>
  <si>
    <t>http://www.amalytix.com</t>
  </si>
  <si>
    <t>Updates findest Du immer auf:</t>
  </si>
  <si>
    <t>trutz@amalytix.com</t>
  </si>
  <si>
    <t xml:space="preserve">Fragen? Anregungen? Schreib mir gern an </t>
  </si>
  <si>
    <t>Verkauf (Kleinunternehmerregelung)</t>
  </si>
  <si>
    <t>Amazon Kosten netto</t>
  </si>
  <si>
    <t>zzgl. 19% USt.</t>
  </si>
  <si>
    <t>Amazon Kosten brutto</t>
  </si>
  <si>
    <t>Bruttogewinn</t>
  </si>
  <si>
    <t>Verkauf (Nettorechnung)</t>
  </si>
  <si>
    <t>Bruttoerlös nach Amazon Kosten</t>
  </si>
  <si>
    <t>Zusatzgebühr (0,25€) bei Versand aus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</si>
</sst>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0"/>
    <numFmt numFmtId="165" formatCode="#,##0.00_ ;[Red]\-#,##0.00\ "/>
    <numFmt numFmtId="166" formatCode="_-* #,##0.00\ [$€-407]_-;\-* #,##0.00\ [$€-407]_-;_-* &quot;-&quot;??\ [$€-407]_-;_-@_-"/>
    <numFmt numFmtId="167" formatCode="0.0%"/>
    <numFmt numFmtId="168" formatCode="0.0"/>
    <numFmt numFmtId="169" formatCode="_-* #,##0.000\ &quot;€&quot;_-;\-* #,##0.000\ &quot;€&quot;_-;_-* &quot;-&quot;??\ &quot;€&quot;_-;_-@_-"/>
    <numFmt numFmtId="170" formatCode="_-* #,##0\ &quot;€&quot;_-;\-* #,##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C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8" fontId="0" fillId="0" borderId="0" xfId="0" applyNumberFormat="1"/>
    <xf numFmtId="8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4" fontId="0" fillId="0" borderId="0" xfId="2" applyFont="1"/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  <xf numFmtId="0" fontId="4" fillId="3" borderId="1" xfId="6"/>
    <xf numFmtId="0" fontId="2" fillId="2" borderId="1" xfId="4"/>
    <xf numFmtId="0" fontId="3" fillId="3" borderId="2" xfId="5"/>
    <xf numFmtId="2" fontId="4" fillId="3" borderId="1" xfId="6" applyNumberFormat="1"/>
    <xf numFmtId="164" fontId="4" fillId="3" borderId="1" xfId="6" applyNumberForma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2" fontId="4" fillId="3" borderId="1" xfId="6" applyNumberFormat="1" applyAlignment="1">
      <alignment horizontal="right"/>
    </xf>
    <xf numFmtId="0" fontId="8" fillId="0" borderId="0" xfId="0" applyFont="1"/>
    <xf numFmtId="8" fontId="2" fillId="2" borderId="1" xfId="4" applyNumberFormat="1" applyAlignment="1">
      <alignment horizontal="right"/>
    </xf>
    <xf numFmtId="8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4" fontId="2" fillId="2" borderId="1" xfId="4" applyNumberFormat="1"/>
    <xf numFmtId="44" fontId="4" fillId="3" borderId="1" xfId="6" applyNumberFormat="1"/>
    <xf numFmtId="0" fontId="2" fillId="2" borderId="1" xfId="4" applyAlignment="1">
      <alignment horizontal="right"/>
    </xf>
    <xf numFmtId="0" fontId="4" fillId="3" borderId="1" xfId="6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166" fontId="0" fillId="0" borderId="0" xfId="0" applyNumberFormat="1"/>
    <xf numFmtId="40" fontId="0" fillId="0" borderId="0" xfId="1" applyNumberFormat="1" applyFont="1"/>
    <xf numFmtId="40" fontId="2" fillId="2" borderId="1" xfId="4" applyNumberFormat="1"/>
    <xf numFmtId="9" fontId="0" fillId="0" borderId="0" xfId="3" applyFont="1"/>
    <xf numFmtId="9" fontId="0" fillId="0" borderId="0" xfId="0" applyNumberFormat="1"/>
    <xf numFmtId="0" fontId="11" fillId="0" borderId="0" xfId="0" applyFont="1"/>
    <xf numFmtId="9" fontId="2" fillId="2" borderId="1" xfId="4" applyNumberFormat="1"/>
    <xf numFmtId="0" fontId="2" fillId="2" borderId="4" xfId="4" applyBorder="1"/>
    <xf numFmtId="0" fontId="0" fillId="0" borderId="3" xfId="0" applyBorder="1"/>
    <xf numFmtId="9" fontId="4" fillId="3" borderId="1" xfId="6" applyNumberFormat="1"/>
    <xf numFmtId="0" fontId="5" fillId="0" borderId="3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Border="1"/>
    <xf numFmtId="0" fontId="5" fillId="0" borderId="0" xfId="0" applyFont="1" applyBorder="1" applyAlignment="1">
      <alignment horizontal="right"/>
    </xf>
    <xf numFmtId="40" fontId="4" fillId="3" borderId="1" xfId="6" applyNumberFormat="1"/>
    <xf numFmtId="166" fontId="4" fillId="3" borderId="1" xfId="6" applyNumberFormat="1"/>
    <xf numFmtId="167" fontId="4" fillId="3" borderId="1" xfId="6" applyNumberFormat="1"/>
    <xf numFmtId="44" fontId="4" fillId="3" borderId="5" xfId="6" applyNumberFormat="1" applyBorder="1"/>
    <xf numFmtId="0" fontId="4" fillId="3" borderId="4" xfId="6" applyBorder="1"/>
    <xf numFmtId="0" fontId="5" fillId="0" borderId="6" xfId="0" applyFont="1" applyBorder="1"/>
    <xf numFmtId="44" fontId="3" fillId="3" borderId="7" xfId="5" applyNumberFormat="1" applyFont="1" applyBorder="1"/>
    <xf numFmtId="44" fontId="3" fillId="3" borderId="7" xfId="5" applyNumberFormat="1" applyBorder="1"/>
    <xf numFmtId="0" fontId="0" fillId="0" borderId="6" xfId="0" applyBorder="1"/>
    <xf numFmtId="166" fontId="3" fillId="3" borderId="7" xfId="5" applyNumberFormat="1" applyBorder="1"/>
    <xf numFmtId="167" fontId="2" fillId="2" borderId="1" xfId="4" applyNumberFormat="1"/>
    <xf numFmtId="168" fontId="4" fillId="3" borderId="1" xfId="6" applyNumberFormat="1"/>
    <xf numFmtId="1" fontId="4" fillId="3" borderId="1" xfId="6" applyNumberFormat="1"/>
    <xf numFmtId="44" fontId="4" fillId="3" borderId="1" xfId="2" applyFont="1" applyFill="1" applyBorder="1"/>
    <xf numFmtId="169" fontId="4" fillId="3" borderId="1" xfId="6" applyNumberFormat="1"/>
    <xf numFmtId="170" fontId="4" fillId="3" borderId="1" xfId="6" applyNumberFormat="1"/>
    <xf numFmtId="170" fontId="3" fillId="3" borderId="7" xfId="5" applyNumberFormat="1" applyFont="1" applyBorder="1"/>
    <xf numFmtId="0" fontId="13" fillId="4" borderId="0" xfId="8"/>
    <xf numFmtId="0" fontId="0" fillId="0" borderId="0" xfId="0" applyAlignment="1">
      <alignment horizontal="left" indent="1"/>
    </xf>
    <xf numFmtId="44" fontId="4" fillId="3" borderId="9" xfId="6" applyNumberFormat="1" applyBorder="1"/>
    <xf numFmtId="170" fontId="4" fillId="3" borderId="9" xfId="6" applyNumberFormat="1" applyBorder="1"/>
    <xf numFmtId="9" fontId="14" fillId="3" borderId="1" xfId="6" applyNumberFormat="1" applyFont="1"/>
    <xf numFmtId="0" fontId="14" fillId="3" borderId="1" xfId="6" applyFont="1"/>
    <xf numFmtId="44" fontId="14" fillId="3" borderId="1" xfId="6" applyNumberFormat="1" applyFont="1"/>
    <xf numFmtId="170" fontId="14" fillId="3" borderId="1" xfId="6" applyNumberFormat="1" applyFont="1"/>
    <xf numFmtId="44" fontId="14" fillId="3" borderId="5" xfId="6" applyNumberFormat="1" applyFont="1" applyBorder="1"/>
    <xf numFmtId="0" fontId="5" fillId="0" borderId="8" xfId="0" applyFont="1" applyBorder="1"/>
    <xf numFmtId="167" fontId="0" fillId="0" borderId="0" xfId="3" applyNumberFormat="1" applyFont="1"/>
    <xf numFmtId="167" fontId="0" fillId="0" borderId="0" xfId="0" applyNumberFormat="1"/>
    <xf numFmtId="0" fontId="15" fillId="0" borderId="0" xfId="9"/>
    <xf numFmtId="6" fontId="0" fillId="0" borderId="0" xfId="2" applyNumberFormat="1" applyFont="1"/>
    <xf numFmtId="6" fontId="0" fillId="0" borderId="0" xfId="0" applyNumberFormat="1"/>
    <xf numFmtId="1" fontId="13" fillId="4" borderId="1" xfId="8" applyNumberFormat="1" applyBorder="1" applyAlignment="1">
      <alignment horizontal="right"/>
    </xf>
    <xf numFmtId="8" fontId="16" fillId="0" borderId="0" xfId="2" applyNumberFormat="1" applyFont="1"/>
    <xf numFmtId="6" fontId="2" fillId="2" borderId="1" xfId="4" applyNumberFormat="1" applyAlignment="1">
      <alignment vertical="top"/>
    </xf>
    <xf numFmtId="9" fontId="2" fillId="2" borderId="1" xfId="4" applyNumberFormat="1" applyAlignment="1">
      <alignment vertical="top"/>
    </xf>
    <xf numFmtId="0" fontId="15" fillId="0" borderId="0" xfId="9" applyAlignment="1">
      <alignment vertical="top"/>
    </xf>
    <xf numFmtId="0" fontId="17" fillId="0" borderId="0" xfId="0" applyFont="1"/>
    <xf numFmtId="166" fontId="18" fillId="3" borderId="4" xfId="6" applyNumberFormat="1" applyFont="1" applyBorder="1"/>
    <xf numFmtId="0" fontId="12" fillId="5" borderId="13" xfId="7" applyFill="1" applyBorder="1" applyAlignment="1">
      <alignment horizontal="center"/>
    </xf>
    <xf numFmtId="0" fontId="12" fillId="5" borderId="14" xfId="7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12" fillId="0" borderId="0" xfId="7"/>
    <xf numFmtId="0" fontId="0" fillId="0" borderId="0" xfId="0" applyFont="1" applyBorder="1"/>
    <xf numFmtId="0" fontId="0" fillId="0" borderId="8" xfId="0" applyFont="1" applyBorder="1"/>
    <xf numFmtId="44" fontId="14" fillId="3" borderId="9" xfId="6" applyNumberFormat="1" applyFont="1" applyBorder="1"/>
    <xf numFmtId="170" fontId="14" fillId="3" borderId="9" xfId="6" applyNumberFormat="1" applyFont="1" applyBorder="1"/>
    <xf numFmtId="44" fontId="19" fillId="2" borderId="1" xfId="4" applyNumberFormat="1" applyFont="1"/>
    <xf numFmtId="44" fontId="4" fillId="3" borderId="1" xfId="6" applyNumberFormat="1" applyFont="1"/>
    <xf numFmtId="170" fontId="4" fillId="3" borderId="1" xfId="6" applyNumberFormat="1" applyFont="1"/>
    <xf numFmtId="44" fontId="14" fillId="3" borderId="15" xfId="6" applyNumberFormat="1" applyFont="1" applyBorder="1"/>
    <xf numFmtId="0" fontId="19" fillId="2" borderId="1" xfId="4" applyFont="1"/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0" xfId="9" applyFont="1" applyAlignment="1">
      <alignment horizontal="left" vertical="top" wrapText="1"/>
    </xf>
    <xf numFmtId="0" fontId="5" fillId="0" borderId="10" xfId="9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</cellXfs>
  <cellStyles count="10">
    <cellStyle name="Ausgabe" xfId="5" builtinId="21"/>
    <cellStyle name="Berechnung" xfId="6" builtinId="22"/>
    <cellStyle name="Dezimal" xfId="1" builtinId="3"/>
    <cellStyle name="Eingabe" xfId="4" builtinId="20"/>
    <cellStyle name="Erklärender Text" xfId="9" builtinId="53"/>
    <cellStyle name="Hyperlink" xfId="7" builtinId="8"/>
    <cellStyle name="Neutral" xfId="8" builtinId="28"/>
    <cellStyle name="Prozent" xfId="3" builtinId="5"/>
    <cellStyle name="Stand." xfId="0" builtinId="0"/>
    <cellStyle name="Währung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Aufteilung des Netto-VK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('Verkauf (netto)'!$A$14,'Verkauf (netto)'!$A$17,'Verkauf (netto)'!$A$18)</c:f>
              <c:strCache>
                <c:ptCount val="3"/>
                <c:pt idx="0">
                  <c:v>Amazon Kosten</c:v>
                </c:pt>
                <c:pt idx="1">
                  <c:v>Stückkosten</c:v>
                </c:pt>
                <c:pt idx="2">
                  <c:v>Nettogewinn</c:v>
                </c:pt>
              </c:strCache>
            </c:strRef>
          </c:cat>
          <c:val>
            <c:numRef>
              <c:f>('Verkauf (netto)'!$B$14,'Verkauf (netto)'!$B$17,'Verkauf (netto)'!$B$18)</c:f>
              <c:numCache>
                <c:formatCode>_("€"* #,##0.00_);_("€"* \(#,##0.00\);_("€"* "-"??_);_(@_)</c:formatCode>
                <c:ptCount val="3"/>
                <c:pt idx="0">
                  <c:v>7.869916</c:v>
                </c:pt>
                <c:pt idx="1">
                  <c:v>5.669724194429274</c:v>
                </c:pt>
                <c:pt idx="2">
                  <c:v>3.258679133301819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5" l="0.7" r="0.7" t="0.7874015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Aufteilung des Netto-VK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('Verkauf (KU)'!$A$14,'Verkauf (KU)'!$A$17,'Verkauf (KU)'!$A$18)</c:f>
              <c:strCache>
                <c:ptCount val="3"/>
                <c:pt idx="0">
                  <c:v>Amazon Kosten brutto</c:v>
                </c:pt>
                <c:pt idx="1">
                  <c:v>Stückkosten inkl. USt.</c:v>
                </c:pt>
                <c:pt idx="2">
                  <c:v>Bruttogewinn</c:v>
                </c:pt>
              </c:strCache>
            </c:strRef>
          </c:cat>
          <c:val>
            <c:numRef>
              <c:f>('Verkauf (KU)'!$B$14,'Verkauf (KU)'!$B$17,'Verkauf (KU)'!$B$18)</c:f>
              <c:numCache>
                <c:formatCode>_("€"* #,##0.00_);_("€"* \(#,##0.00\);_("€"* "-"??_);_(@_)</c:formatCode>
                <c:ptCount val="3"/>
                <c:pt idx="0">
                  <c:v>9.36520004</c:v>
                </c:pt>
                <c:pt idx="1">
                  <c:v>6.746971791370835</c:v>
                </c:pt>
                <c:pt idx="2">
                  <c:v>3.877828168629163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5" l="0.7" r="0.7" t="0.7874015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'Auswirkung Retouren'!$F$8</c:f>
              <c:strCache>
                <c:ptCount val="1"/>
                <c:pt idx="0">
                  <c:v>Gesamtgewinn nach Abzug Warenwert und Rücksendekosten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'Auswirkung Retouren'!$A$9:$A$32</c:f>
              <c:numCache>
                <c:formatCode>0.0%</c:formatCode>
                <c:ptCount val="24"/>
                <c:pt idx="0">
                  <c:v>0.01</c:v>
                </c:pt>
                <c:pt idx="1">
                  <c:v>0.025</c:v>
                </c:pt>
                <c:pt idx="2">
                  <c:v>0.05</c:v>
                </c:pt>
                <c:pt idx="3">
                  <c:v>0.075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</c:numCache>
            </c:numRef>
          </c:cat>
          <c:val>
            <c:numRef>
              <c:f>'Auswirkung Retouren'!$F$9:$F$32</c:f>
              <c:numCache>
                <c:formatCode>"€"#,##0_);[Red]\("€"#,##0\)</c:formatCode>
                <c:ptCount val="24"/>
                <c:pt idx="0">
                  <c:v>635.5144582715053</c:v>
                </c:pt>
                <c:pt idx="1">
                  <c:v>611.1824056882175</c:v>
                </c:pt>
                <c:pt idx="2">
                  <c:v>570.628984716071</c:v>
                </c:pt>
                <c:pt idx="3">
                  <c:v>530.0755637439248</c:v>
                </c:pt>
                <c:pt idx="4">
                  <c:v>489.5221427717784</c:v>
                </c:pt>
                <c:pt idx="5">
                  <c:v>448.968721799632</c:v>
                </c:pt>
                <c:pt idx="6">
                  <c:v>408.4153008274856</c:v>
                </c:pt>
                <c:pt idx="7">
                  <c:v>367.8618798553392</c:v>
                </c:pt>
                <c:pt idx="8">
                  <c:v>327.3084588831929</c:v>
                </c:pt>
                <c:pt idx="9">
                  <c:v>246.2016169389001</c:v>
                </c:pt>
                <c:pt idx="10">
                  <c:v>165.0947749946074</c:v>
                </c:pt>
                <c:pt idx="11">
                  <c:v>83.9879330503146</c:v>
                </c:pt>
                <c:pt idx="12">
                  <c:v>2.881091106021984</c:v>
                </c:pt>
                <c:pt idx="13">
                  <c:v>-78.22575083827076</c:v>
                </c:pt>
                <c:pt idx="14">
                  <c:v>-159.3325927825634</c:v>
                </c:pt>
                <c:pt idx="15">
                  <c:v>-240.4394347268562</c:v>
                </c:pt>
                <c:pt idx="16">
                  <c:v>-321.5462766711491</c:v>
                </c:pt>
                <c:pt idx="17">
                  <c:v>-402.653118615442</c:v>
                </c:pt>
                <c:pt idx="18">
                  <c:v>-483.7599605597346</c:v>
                </c:pt>
                <c:pt idx="19">
                  <c:v>-564.8668025040276</c:v>
                </c:pt>
                <c:pt idx="20">
                  <c:v>-645.9736444483203</c:v>
                </c:pt>
                <c:pt idx="21">
                  <c:v>-727.0804863926131</c:v>
                </c:pt>
                <c:pt idx="22">
                  <c:v>-808.187328336906</c:v>
                </c:pt>
                <c:pt idx="23">
                  <c:v>-889.2941702811987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994880"/>
        <c:axId val="605119168"/>
      </c:barChart>
      <c:catAx>
        <c:axId val="52899488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5119168"/>
        <c:crosses val="autoZero"/>
        <c:auto val="1"/>
        <c:lblAlgn val="ctr"/>
        <c:lblOffset val="100"/>
        <c:noMultiLvlLbl val="0"/>
      </c:catAx>
      <c:valAx>
        <c:axId val="6051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99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5" l="0.7" r="0.7" t="0.7874015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321469</xdr:colOff>
      <xdr:row>1</xdr:row>
      <xdr:rowOff>11906</xdr:rowOff>
    </xdr:from>
    <xdr:to>
      <xdr:col>11</xdr:col>
      <xdr:colOff>321469</xdr:colOff>
      <xdr:row>20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321469</xdr:colOff>
      <xdr:row>1</xdr:row>
      <xdr:rowOff>11906</xdr:rowOff>
    </xdr:from>
    <xdr:to>
      <xdr:col>11</xdr:col>
      <xdr:colOff>321469</xdr:colOff>
      <xdr:row>20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178593</xdr:colOff>
      <xdr:row>6</xdr:row>
      <xdr:rowOff>11904</xdr:rowOff>
    </xdr:from>
    <xdr:to>
      <xdr:col>12</xdr:col>
      <xdr:colOff>178593</xdr:colOff>
      <xdr:row>22</xdr:row>
      <xdr:rowOff>19049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malytix.com/" TargetMode="External"/><Relationship Id="rId2" Type="http://schemas.openxmlformats.org/officeDocument/2006/relationships/hyperlink" Target="mailto:trutz@amalytix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://ec.europa.eu/taxation_customs/dds2/taric/taric_consultation.jsp?Lang=de" TargetMode="External"/><Relationship Id="rId2" Type="http://schemas.openxmlformats.org/officeDocument/2006/relationships/hyperlink" Target="http://auskunft.ezt-online.de/ezto/Modus.d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omments" Target="../comments3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4.xml"/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14999847407452621"/>
  </sheetPr>
  <dimension ref="A1:B18"/>
  <sheetViews>
    <sheetView tabSelected="1" workbookViewId="0"/>
  </sheetViews>
  <sheetFormatPr baseColWidth="10" defaultRowHeight="15" x14ac:dyDescent="0.2"/>
  <cols>
    <col min="1" max="1" width="37" customWidth="1"/>
    <col min="2" max="2" width="68.33203125" customWidth="1"/>
  </cols>
  <sheetData>
    <row r="1" spans="1:1" ht="24" x14ac:dyDescent="0.3">
      <c r="A1" s="36" t="s">
        <v>116</v>
      </c>
    </row>
    <row r="3" spans="1:1" x14ac:dyDescent="0.2">
      <c r="A3" t="s">
        <v>117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120</v>
      </c>
    </row>
    <row r="7" spans="1:1" x14ac:dyDescent="0.2">
      <c r="A7" t="s">
        <v>136</v>
      </c>
    </row>
    <row r="9" spans="1:1" x14ac:dyDescent="0.2">
      <c r="A9" s="10" t="s">
        <v>118</v>
      </c>
    </row>
    <row r="11" spans="1:1" x14ac:dyDescent="0.2">
      <c r="A11" s="9" t="s">
        <v>119</v>
      </c>
    </row>
    <row r="13" spans="1:1" x14ac:dyDescent="0.2">
      <c r="A13" s="11" t="s">
        <v>121</v>
      </c>
    </row>
    <row r="15" spans="1:1" x14ac:dyDescent="0.2">
      <c r="A15" s="62" t="s">
        <v>126</v>
      </c>
    </row>
    <row r="17" spans="1:2" x14ac:dyDescent="0.2">
      <c r="A17" s="86" t="s">
        <v>154</v>
      </c>
      <c r="B17" s="88" t="s">
        <v>153</v>
      </c>
    </row>
    <row r="18" spans="1:2" x14ac:dyDescent="0.2">
      <c r="A18" s="87" t="s">
        <v>152</v>
      </c>
      <c r="B18" s="88" t="s">
        <v>151</v>
      </c>
    </row>
  </sheetData>
  <hyperlinks>
    <hyperlink ref="B18" r:id="rId1"/>
    <hyperlink ref="B17" r:id="rId2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7"/>
  </sheetPr>
  <dimension ref="A1:F19"/>
  <sheetViews>
    <sheetView workbookViewId="0">
      <selection activeCell="D16" sqref="D16"/>
    </sheetView>
  </sheetViews>
  <sheetFormatPr baseColWidth="10" defaultRowHeight="15" x14ac:dyDescent="0.2"/>
  <cols>
    <col min="1" max="1" width="37.1640625" customWidth="1"/>
    <col min="5" max="5" width="6.6640625" customWidth="1"/>
  </cols>
  <sheetData>
    <row r="1" spans="1:6" ht="24" x14ac:dyDescent="0.3">
      <c r="A1" s="36" t="s">
        <v>55</v>
      </c>
    </row>
    <row r="2" spans="1:6" ht="14" customHeight="1" x14ac:dyDescent="0.3">
      <c r="A2" s="36"/>
    </row>
    <row r="3" spans="1:6" x14ac:dyDescent="0.2">
      <c r="A3" t="s">
        <v>58</v>
      </c>
      <c r="B3" s="10">
        <v>1.0986</v>
      </c>
      <c r="C3" t="s">
        <v>59</v>
      </c>
    </row>
    <row r="5" spans="1:6" x14ac:dyDescent="0.2">
      <c r="A5" s="39"/>
      <c r="B5" s="15" t="s">
        <v>56</v>
      </c>
      <c r="C5" s="15" t="s">
        <v>57</v>
      </c>
      <c r="D5" s="15" t="s">
        <v>64</v>
      </c>
    </row>
    <row r="6" spans="1:6" x14ac:dyDescent="0.2">
      <c r="A6" t="s">
        <v>60</v>
      </c>
      <c r="B6" s="38">
        <v>200</v>
      </c>
    </row>
    <row r="8" spans="1:6" ht="14" customHeight="1" x14ac:dyDescent="0.2">
      <c r="A8" t="s">
        <v>61</v>
      </c>
      <c r="B8" s="33">
        <f>0.95*5</f>
        <v>4.75</v>
      </c>
      <c r="C8" s="45">
        <f>B8*Bestellmenge</f>
        <v>950</v>
      </c>
    </row>
    <row r="9" spans="1:6" x14ac:dyDescent="0.2">
      <c r="A9" t="s">
        <v>62</v>
      </c>
      <c r="B9" s="24">
        <f>B8/B3</f>
        <v>4.3236846896049519</v>
      </c>
      <c r="C9" s="25">
        <f>B9*Bestellmenge</f>
        <v>864.73693792099039</v>
      </c>
    </row>
    <row r="10" spans="1:6" x14ac:dyDescent="0.2">
      <c r="B10" s="32"/>
      <c r="C10" s="6"/>
    </row>
    <row r="11" spans="1:6" ht="16" thickBot="1" x14ac:dyDescent="0.25">
      <c r="A11" t="s">
        <v>63</v>
      </c>
      <c r="B11" s="25">
        <f>C11/Bestellmenge</f>
        <v>1</v>
      </c>
      <c r="C11" s="24">
        <v>200</v>
      </c>
    </row>
    <row r="12" spans="1:6" x14ac:dyDescent="0.2">
      <c r="B12" s="6"/>
      <c r="C12" s="6"/>
      <c r="E12" s="98" t="s">
        <v>150</v>
      </c>
      <c r="F12" s="99"/>
    </row>
    <row r="13" spans="1:6" ht="16" thickBot="1" x14ac:dyDescent="0.25">
      <c r="A13" t="s">
        <v>65</v>
      </c>
      <c r="B13" s="25">
        <f>C13/Bestellmenge</f>
        <v>5.3236846896049519</v>
      </c>
      <c r="C13" s="25">
        <f>C11+C9</f>
        <v>1064.7369379209904</v>
      </c>
      <c r="E13" s="84" t="s">
        <v>114</v>
      </c>
      <c r="F13" s="85" t="s">
        <v>113</v>
      </c>
    </row>
    <row r="14" spans="1:6" x14ac:dyDescent="0.2">
      <c r="A14" t="s">
        <v>66</v>
      </c>
      <c r="B14" s="25">
        <f>C14/Bestellmenge</f>
        <v>0.34603950482432189</v>
      </c>
      <c r="C14" s="46">
        <f>D14*C13</f>
        <v>69.207900964864379</v>
      </c>
      <c r="D14" s="55">
        <v>6.5000000000000002E-2</v>
      </c>
    </row>
    <row r="15" spans="1:6" x14ac:dyDescent="0.2">
      <c r="B15" s="6"/>
      <c r="C15" s="31"/>
    </row>
    <row r="16" spans="1:6" x14ac:dyDescent="0.2">
      <c r="A16" t="s">
        <v>147</v>
      </c>
      <c r="B16" s="6"/>
      <c r="C16" s="25">
        <f>(C13+C14)*D16</f>
        <v>215.44951938831241</v>
      </c>
      <c r="D16" s="37">
        <v>0.19</v>
      </c>
    </row>
    <row r="18" spans="1:3" ht="16" thickBot="1" x14ac:dyDescent="0.25">
      <c r="A18" s="53" t="s">
        <v>127</v>
      </c>
      <c r="B18" s="54">
        <f>C18/Bestellmenge</f>
        <v>5.669724194429274</v>
      </c>
      <c r="C18" s="54">
        <f>C13+C14</f>
        <v>1133.9448388858548</v>
      </c>
    </row>
    <row r="19" spans="1:3" ht="16" thickTop="1" x14ac:dyDescent="0.2">
      <c r="A19" s="82" t="s">
        <v>128</v>
      </c>
      <c r="B19" s="83">
        <f>C19/Bestellmenge</f>
        <v>6.7469717913708358</v>
      </c>
      <c r="C19" s="83">
        <f>C18+C16</f>
        <v>1349.3943582741672</v>
      </c>
    </row>
  </sheetData>
  <mergeCells count="1">
    <mergeCell ref="E12:F12"/>
  </mergeCells>
  <hyperlinks>
    <hyperlink ref="E13" r:id="rId1" display="TARIC öffnen"/>
    <hyperlink ref="F13" r:id="rId2" location="ziel"/>
  </hyperlinks>
  <pageMargins left="0.7" right="0.7" top="0.78740157499999996" bottom="0.78740157499999996" header="0.3" footer="0.3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7"/>
  </sheetPr>
  <dimension ref="A1:C41"/>
  <sheetViews>
    <sheetView workbookViewId="0">
      <selection activeCell="B22" sqref="B22"/>
    </sheetView>
  </sheetViews>
  <sheetFormatPr baseColWidth="10" defaultRowHeight="15" x14ac:dyDescent="0.2"/>
  <cols>
    <col min="1" max="1" width="35.83203125" customWidth="1"/>
    <col min="2" max="2" width="20.33203125" customWidth="1"/>
    <col min="3" max="3" width="18.1640625" customWidth="1"/>
  </cols>
  <sheetData>
    <row r="1" spans="1:3" ht="24" x14ac:dyDescent="0.3">
      <c r="A1" s="36" t="s">
        <v>115</v>
      </c>
    </row>
    <row r="3" spans="1:3" x14ac:dyDescent="0.2">
      <c r="A3" s="3" t="s">
        <v>1</v>
      </c>
      <c r="B3" s="4"/>
    </row>
    <row r="4" spans="1:3" x14ac:dyDescent="0.2">
      <c r="A4" t="s">
        <v>11</v>
      </c>
      <c r="B4" s="21" t="s">
        <v>13</v>
      </c>
      <c r="C4" s="28" t="s">
        <v>44</v>
      </c>
    </row>
    <row r="5" spans="1:3" x14ac:dyDescent="0.2">
      <c r="B5" s="2"/>
      <c r="C5" s="28"/>
    </row>
    <row r="6" spans="1:3" x14ac:dyDescent="0.2">
      <c r="A6" t="s">
        <v>4</v>
      </c>
      <c r="B6" s="10">
        <v>3500</v>
      </c>
      <c r="C6" s="28" t="s">
        <v>8</v>
      </c>
    </row>
    <row r="7" spans="1:3" x14ac:dyDescent="0.2">
      <c r="B7" s="2"/>
      <c r="C7" s="28"/>
    </row>
    <row r="8" spans="1:3" x14ac:dyDescent="0.2">
      <c r="A8" t="s">
        <v>2</v>
      </c>
      <c r="B8" s="10">
        <v>43</v>
      </c>
      <c r="C8" s="28" t="s">
        <v>6</v>
      </c>
    </row>
    <row r="9" spans="1:3" x14ac:dyDescent="0.2">
      <c r="A9" t="s">
        <v>3</v>
      </c>
      <c r="B9" s="10">
        <v>34</v>
      </c>
      <c r="C9" s="28" t="s">
        <v>6</v>
      </c>
    </row>
    <row r="10" spans="1:3" x14ac:dyDescent="0.2">
      <c r="A10" t="s">
        <v>14</v>
      </c>
      <c r="B10" s="10">
        <v>4.4000000000000004</v>
      </c>
      <c r="C10" s="28" t="s">
        <v>6</v>
      </c>
    </row>
    <row r="11" spans="1:3" x14ac:dyDescent="0.2">
      <c r="A11" t="s">
        <v>5</v>
      </c>
      <c r="B11" s="13">
        <f>B8*B9*B10/1000000</f>
        <v>6.4327999999999998E-3</v>
      </c>
      <c r="C11" s="28" t="s">
        <v>7</v>
      </c>
    </row>
    <row r="12" spans="1:3" x14ac:dyDescent="0.2">
      <c r="A12" t="s">
        <v>31</v>
      </c>
      <c r="B12" s="12">
        <f>MAX(B8:B10)+2*MEDIAN(B8:B10)+2*MIN(B8:B10)</f>
        <v>119.8</v>
      </c>
      <c r="C12" s="28" t="s">
        <v>6</v>
      </c>
    </row>
    <row r="13" spans="1:3" x14ac:dyDescent="0.2">
      <c r="A13" t="s">
        <v>33</v>
      </c>
      <c r="B13" s="19" t="str">
        <f>IF(AND(Gewicht&lt;=30000,Gurtmaß&lt;=300),"Ja","Nein")</f>
        <v>Ja</v>
      </c>
      <c r="C13" s="28" t="s">
        <v>45</v>
      </c>
    </row>
    <row r="14" spans="1:3" x14ac:dyDescent="0.2">
      <c r="C14" s="28"/>
    </row>
    <row r="15" spans="1:3" x14ac:dyDescent="0.2">
      <c r="A15" t="s">
        <v>9</v>
      </c>
      <c r="B15" s="59">
        <f>B11*LagergebührQbmMonat</f>
        <v>0.18333479999999999</v>
      </c>
      <c r="C15" s="28" t="s">
        <v>10</v>
      </c>
    </row>
    <row r="16" spans="1:3" x14ac:dyDescent="0.2">
      <c r="A16" t="s">
        <v>122</v>
      </c>
      <c r="B16" s="56">
        <f>Bestellmenge/'Verkauf (netto)'!C3</f>
        <v>6.666666666666667</v>
      </c>
      <c r="C16" s="28" t="s">
        <v>123</v>
      </c>
    </row>
    <row r="17" spans="1:3" x14ac:dyDescent="0.2">
      <c r="A17" t="s">
        <v>124</v>
      </c>
      <c r="B17" s="57">
        <f>Bestellmenge/2</f>
        <v>100</v>
      </c>
      <c r="C17" s="28"/>
    </row>
    <row r="18" spans="1:3" x14ac:dyDescent="0.2">
      <c r="A18" t="s">
        <v>125</v>
      </c>
      <c r="B18" s="58">
        <f>B17*B15</f>
        <v>18.333479999999998</v>
      </c>
      <c r="C18" s="28"/>
    </row>
    <row r="19" spans="1:3" x14ac:dyDescent="0.2">
      <c r="A19" t="str">
        <f>"Lagerkosten gesamte Laufzeit ("&amp;ROUND(B16,0)&amp;" Monate)"</f>
        <v>Lagerkosten gesamte Laufzeit (7 Monate)</v>
      </c>
      <c r="B19" s="58">
        <f>B17*B15*B16</f>
        <v>122.22319999999999</v>
      </c>
      <c r="C19" s="28"/>
    </row>
    <row r="20" spans="1:3" x14ac:dyDescent="0.2">
      <c r="C20" s="28"/>
    </row>
    <row r="21" spans="1:3" x14ac:dyDescent="0.2">
      <c r="A21" t="s">
        <v>34</v>
      </c>
      <c r="B21" s="27" t="str">
        <f>IF(OR(B6&gt;12000,MAX(AbmessungenInCm)&gt;45,OR(MEDIAN(AbmessungenInCm)&gt;34,OR(MIN(AbmessungenInCm)&gt;26))),"Übergröße","Standardgröße")</f>
        <v>Standardgröße</v>
      </c>
      <c r="C21" s="28"/>
    </row>
    <row r="22" spans="1:3" x14ac:dyDescent="0.2">
      <c r="A22" t="s">
        <v>15</v>
      </c>
      <c r="B22" s="27" t="str">
        <f>IF(AmazonGröße="Standardgröße",IF(AND(Gewicht+20&lt;=100,MAX(AbmessungenInCm)&lt;=20,MEDIAN(AbmessungenInCm)&lt;=15,MIN(AbmessungenInCm)&lt;=1),"Kleiner Briefumschlag",IF(AND(Gewicht+40&lt;=500,MAX(AbmessungenInCm)&lt;=33,MEDIAN(AbmessungenInCm)&lt;=23,MIN(AbmessungenInCm)&lt;=2.5),"Standard Briefumschlag",IF(AND(Gewicht+40&lt;=1000,MAX(AbmessungenInCm)&lt;=33,MEDIAN(AbmessungenInCm)&lt;=23,MIN(AbmessungenInCm)&lt;=5),"Großer Briefumschlag","Paket"))),IF(AND(MAX(AbmessungenInCm)&lt;=61,MEDIAN(AbmessungenInCm)&lt;=46,MIN(AbmessungenInCm)&lt;=46),"Kleine Übergröße",IF(AND(MAX(AbmessungenInCm)&lt;=120,MEDIAN(AbmessungenInCm)&lt;=60,MIN(AbmessungenInCm)&lt;=60),"Standard Übergröße","Große Übergröße")))</f>
        <v>Paket</v>
      </c>
      <c r="C22" s="28"/>
    </row>
    <row r="23" spans="1:3" x14ac:dyDescent="0.2">
      <c r="A23" t="s">
        <v>25</v>
      </c>
      <c r="B23" s="9">
        <f>VLOOKUP(B22,'FBA Kosten'!A5:E11,5,FALSE)</f>
        <v>100</v>
      </c>
      <c r="C23" s="28" t="s">
        <v>35</v>
      </c>
    </row>
    <row r="24" spans="1:3" x14ac:dyDescent="0.2">
      <c r="A24" t="s">
        <v>26</v>
      </c>
      <c r="B24" s="9">
        <f>B23+B6</f>
        <v>3600</v>
      </c>
      <c r="C24" s="28" t="s">
        <v>35</v>
      </c>
    </row>
    <row r="25" spans="1:3" x14ac:dyDescent="0.2">
      <c r="C25" s="28"/>
    </row>
    <row r="26" spans="1:3" x14ac:dyDescent="0.2">
      <c r="A26" s="29" t="s">
        <v>40</v>
      </c>
      <c r="B26" s="28"/>
      <c r="C26" s="28"/>
    </row>
    <row r="27" spans="1:3" x14ac:dyDescent="0.2">
      <c r="A27" s="28" t="s">
        <v>38</v>
      </c>
      <c r="B27" s="28">
        <f t="array" ref="B27">MIN(IF('FBA Kosten'!B15:Q15&gt;=FBA!$B$24,'FBA Kosten'!B15:Q15))</f>
        <v>4000</v>
      </c>
      <c r="C27" s="28" t="s">
        <v>35</v>
      </c>
    </row>
    <row r="28" spans="1:3" x14ac:dyDescent="0.2">
      <c r="A28" s="28" t="s">
        <v>39</v>
      </c>
      <c r="B28" s="28">
        <f t="array" ref="B28">MIN(IF('FBA Kosten'!B21:Q21&gt;=FBA!$B$24,'FBA Kosten'!B21:Q21))</f>
        <v>4000</v>
      </c>
      <c r="C28" s="28" t="s">
        <v>35</v>
      </c>
    </row>
    <row r="29" spans="1:3" x14ac:dyDescent="0.2">
      <c r="A29" s="28" t="s">
        <v>32</v>
      </c>
      <c r="B29" s="28">
        <f t="array" ref="B29">MIN(IF('FBA Kosten'!B27:Q27&gt;=FBA!$B$24,'FBA Kosten'!B27:Q27))</f>
        <v>4000</v>
      </c>
      <c r="C29" s="28" t="s">
        <v>35</v>
      </c>
    </row>
    <row r="31" spans="1:3" x14ac:dyDescent="0.2">
      <c r="A31" s="3" t="s">
        <v>37</v>
      </c>
      <c r="B31" s="25">
        <f>IF(AND(AmazonGröße="Standardgröße",Produktart="Nicht-Medienprodukt"),INDEX('FBA Kosten'!B16:Q19,MATCH(FBA!B22,'FBA Kosten'!A16:A19,0),MATCH(FBA!B27,'FBA Kosten'!B15:Q15,0)),IF(AND(AmazonGröße="Standardgröße",Produktart="Medienprodukt"),INDEX('FBA Kosten'!B22:Q25,MATCH(FBA!B22,'FBA Kosten'!A22:A25,0),MATCH(FBA!B28,'FBA Kosten'!B21:Q21,0)),INDEX('FBA Kosten'!B28:S30,MATCH(FBA!B22,'FBA Kosten'!A28:A30,0),MATCH(FBA!B29,'FBA Kosten'!B27:Q27,0))))</f>
        <v>4.3600000000000003</v>
      </c>
    </row>
    <row r="32" spans="1:3" x14ac:dyDescent="0.2">
      <c r="A32" t="s">
        <v>162</v>
      </c>
      <c r="B32" s="97" t="s">
        <v>51</v>
      </c>
      <c r="C32" s="25">
        <v>0.5</v>
      </c>
    </row>
    <row r="33" spans="1:3" x14ac:dyDescent="0.2">
      <c r="A33" t="s">
        <v>46</v>
      </c>
      <c r="B33" s="10" t="s">
        <v>52</v>
      </c>
      <c r="C33" s="25">
        <f>IF(B33="Ja",0.15,0)</f>
        <v>0</v>
      </c>
    </row>
    <row r="34" spans="1:3" x14ac:dyDescent="0.2">
      <c r="A34" t="s">
        <v>47</v>
      </c>
      <c r="B34" s="10" t="s">
        <v>52</v>
      </c>
      <c r="C34" s="25">
        <f>IF(B34="Ja",IF(AmazonGröße="Standardgröße",0.45,0.9),0)</f>
        <v>0</v>
      </c>
    </row>
    <row r="35" spans="1:3" x14ac:dyDescent="0.2">
      <c r="A35" t="s">
        <v>48</v>
      </c>
      <c r="B35" s="10" t="s">
        <v>52</v>
      </c>
      <c r="C35" s="25">
        <f>IF(B35="Ja",IF(AmazonGröße="Standardgröße",0.7,1.4),0)</f>
        <v>0</v>
      </c>
    </row>
    <row r="36" spans="1:3" x14ac:dyDescent="0.2">
      <c r="A36" t="s">
        <v>49</v>
      </c>
      <c r="B36" s="10" t="s">
        <v>52</v>
      </c>
      <c r="C36" s="25">
        <f>IF(B36="Ja",IF(AmazonGröße="Standardgröße",0.2,0.4),0)</f>
        <v>0</v>
      </c>
    </row>
    <row r="37" spans="1:3" x14ac:dyDescent="0.2">
      <c r="A37" t="s">
        <v>50</v>
      </c>
      <c r="B37" s="10" t="s">
        <v>52</v>
      </c>
      <c r="C37" s="25">
        <f>IF(B37="Ja",IF(AmazonGröße="Standardgröße",0.9,1.8),0)</f>
        <v>0</v>
      </c>
    </row>
    <row r="39" spans="1:3" x14ac:dyDescent="0.2">
      <c r="A39" t="s">
        <v>53</v>
      </c>
      <c r="B39" s="48">
        <f>SUM(C32:C37)</f>
        <v>0.5</v>
      </c>
    </row>
    <row r="40" spans="1:3" ht="16" thickBot="1" x14ac:dyDescent="0.25">
      <c r="A40" s="50" t="s">
        <v>54</v>
      </c>
      <c r="B40" s="52">
        <f>B31+B39</f>
        <v>4.8600000000000003</v>
      </c>
    </row>
    <row r="41" spans="1:3" ht="16" thickTop="1" x14ac:dyDescent="0.2"/>
  </sheetData>
  <conditionalFormatting sqref="B13">
    <cfRule type="cellIs" dxfId="0" priority="1" operator="equal">
      <formula>"Nein"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DropDown!$A$1:$A$2</xm:f>
          </x14:formula1>
          <xm:sqref>B4</xm:sqref>
        </x14:dataValidation>
        <x14:dataValidation type="list" allowBlank="1" showInputMessage="1" showErrorMessage="1">
          <x14:formula1>
            <xm:f>DropDown!$A$4:$A$5</xm:f>
          </x14:formula1>
          <xm:sqref>B32:B37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7"/>
  </sheetPr>
  <dimension ref="A1:E21"/>
  <sheetViews>
    <sheetView workbookViewId="0">
      <selection activeCell="A23" sqref="A23"/>
    </sheetView>
  </sheetViews>
  <sheetFormatPr baseColWidth="10" defaultRowHeight="15" x14ac:dyDescent="0.2"/>
  <cols>
    <col min="1" max="1" width="27.6640625" customWidth="1"/>
    <col min="2" max="2" width="19.33203125" customWidth="1"/>
    <col min="4" max="4" width="11.33203125" bestFit="1" customWidth="1"/>
  </cols>
  <sheetData>
    <row r="1" spans="1:5" ht="24" x14ac:dyDescent="0.3">
      <c r="A1" s="36" t="s">
        <v>160</v>
      </c>
    </row>
    <row r="2" spans="1:5" x14ac:dyDescent="0.2">
      <c r="A2" s="39"/>
      <c r="B2" s="15" t="s">
        <v>56</v>
      </c>
      <c r="C2" s="15" t="s">
        <v>111</v>
      </c>
      <c r="D2" s="15" t="s">
        <v>57</v>
      </c>
      <c r="E2" s="15" t="s">
        <v>64</v>
      </c>
    </row>
    <row r="3" spans="1:5" x14ac:dyDescent="0.2">
      <c r="A3" s="43" t="s">
        <v>137</v>
      </c>
      <c r="C3" s="26">
        <v>30</v>
      </c>
      <c r="D3" s="77">
        <f>Bestellmenge</f>
        <v>200</v>
      </c>
      <c r="E3" s="44"/>
    </row>
    <row r="4" spans="1:5" x14ac:dyDescent="0.2">
      <c r="A4" t="s">
        <v>67</v>
      </c>
      <c r="B4" s="24">
        <v>19.989999999999998</v>
      </c>
      <c r="C4" s="25">
        <f>B4*$C$3</f>
        <v>599.69999999999993</v>
      </c>
      <c r="D4" s="60">
        <f>B4*$D$3</f>
        <v>3997.9999999999995</v>
      </c>
    </row>
    <row r="5" spans="1:5" x14ac:dyDescent="0.2">
      <c r="A5" t="s">
        <v>68</v>
      </c>
      <c r="B5" s="37">
        <v>0.19</v>
      </c>
    </row>
    <row r="6" spans="1:5" x14ac:dyDescent="0.2">
      <c r="A6" s="71" t="s">
        <v>69</v>
      </c>
      <c r="B6" s="64">
        <f>B4/(1+B5)</f>
        <v>16.798319327731093</v>
      </c>
      <c r="C6" s="64">
        <f>B6*$C$3</f>
        <v>503.94957983193279</v>
      </c>
      <c r="D6" s="65">
        <f>B6*$D$3</f>
        <v>3359.6638655462184</v>
      </c>
      <c r="E6" s="34">
        <f>C6/$C$6</f>
        <v>1</v>
      </c>
    </row>
    <row r="8" spans="1:5" x14ac:dyDescent="0.2">
      <c r="A8" s="63" t="s">
        <v>70</v>
      </c>
      <c r="B8" s="26" t="s">
        <v>93</v>
      </c>
    </row>
    <row r="9" spans="1:5" x14ac:dyDescent="0.2">
      <c r="A9" s="63" t="s">
        <v>71</v>
      </c>
      <c r="B9" s="66">
        <f>VLOOKUP(B8,Verkaufsprovisionen!A2:C22,2,FALSE)</f>
        <v>0.12</v>
      </c>
      <c r="C9" s="67"/>
      <c r="D9" s="67"/>
    </row>
    <row r="10" spans="1:5" x14ac:dyDescent="0.2">
      <c r="A10" s="63" t="s">
        <v>141</v>
      </c>
      <c r="B10" s="68">
        <f>MAX(B9*B4,VLOOKUP(B8,Verkaufsprovisionen!A2:C22,3,FALSE))</f>
        <v>2.3987999999999996</v>
      </c>
      <c r="C10" s="68">
        <f>B10*$C$3</f>
        <v>71.963999999999984</v>
      </c>
      <c r="D10" s="69">
        <f>B10*$D$3</f>
        <v>479.75999999999993</v>
      </c>
      <c r="E10" s="34">
        <f>C10/$C$6</f>
        <v>0.14279999999999995</v>
      </c>
    </row>
    <row r="11" spans="1:5" x14ac:dyDescent="0.2">
      <c r="A11" s="63" t="s">
        <v>110</v>
      </c>
      <c r="B11" s="68">
        <f>IF(B8="Bücher, Musik, VHS, DVD",1.01,0)</f>
        <v>0</v>
      </c>
      <c r="C11" s="68">
        <f>B11*$C$3</f>
        <v>0</v>
      </c>
      <c r="D11" s="69">
        <f>B11*$D$3</f>
        <v>0</v>
      </c>
      <c r="E11" s="34">
        <f>C11/$C$6</f>
        <v>0</v>
      </c>
    </row>
    <row r="12" spans="1:5" x14ac:dyDescent="0.2">
      <c r="A12" s="63" t="s">
        <v>72</v>
      </c>
      <c r="B12" s="68">
        <f>FBA!B40</f>
        <v>4.8600000000000003</v>
      </c>
      <c r="C12" s="68">
        <f>B12*$C$3</f>
        <v>145.80000000000001</v>
      </c>
      <c r="D12" s="69">
        <f>B12*$D$3</f>
        <v>972.00000000000011</v>
      </c>
      <c r="E12" s="34">
        <f>C12/$C$6</f>
        <v>0.28931465732866435</v>
      </c>
    </row>
    <row r="13" spans="1:5" x14ac:dyDescent="0.2">
      <c r="A13" s="63" t="s">
        <v>24</v>
      </c>
      <c r="B13" s="70">
        <f>D13/D3</f>
        <v>0.61111599999999999</v>
      </c>
      <c r="C13" s="70">
        <f>FBA!B18</f>
        <v>18.333479999999998</v>
      </c>
      <c r="D13" s="70">
        <f>FBA!B19</f>
        <v>122.22319999999999</v>
      </c>
      <c r="E13" s="34"/>
    </row>
    <row r="14" spans="1:5" x14ac:dyDescent="0.2">
      <c r="A14" s="71" t="s">
        <v>144</v>
      </c>
      <c r="B14" s="64">
        <f>SUM(B10:B13)</f>
        <v>7.8699159999999999</v>
      </c>
      <c r="C14" s="64">
        <f>B14*$C$3</f>
        <v>236.09747999999999</v>
      </c>
      <c r="D14" s="65">
        <f>B14*$D$3</f>
        <v>1573.9831999999999</v>
      </c>
      <c r="E14" s="34">
        <f>C14/$C$6</f>
        <v>0.46849424912456222</v>
      </c>
    </row>
    <row r="15" spans="1:5" x14ac:dyDescent="0.2">
      <c r="B15" s="49"/>
      <c r="C15" s="49"/>
      <c r="D15" s="49"/>
    </row>
    <row r="16" spans="1:5" x14ac:dyDescent="0.2">
      <c r="A16" t="s">
        <v>73</v>
      </c>
      <c r="B16" s="25">
        <f>B6-B14</f>
        <v>8.9284033277310932</v>
      </c>
      <c r="C16" s="25">
        <f>B16*$C$3</f>
        <v>267.85209983193278</v>
      </c>
      <c r="D16" s="60">
        <f>B16*$D$3</f>
        <v>1785.6806655462187</v>
      </c>
      <c r="E16" s="34">
        <f>C16/$C$6</f>
        <v>0.53150575087543772</v>
      </c>
    </row>
    <row r="17" spans="1:5" x14ac:dyDescent="0.2">
      <c r="A17" t="s">
        <v>143</v>
      </c>
      <c r="B17" s="48">
        <f>Einkauf!B18</f>
        <v>5.669724194429274</v>
      </c>
      <c r="C17" s="48">
        <f>B17*$C$3</f>
        <v>170.09172583287821</v>
      </c>
      <c r="D17" s="60">
        <f>B17*$D$3</f>
        <v>1133.9448388858548</v>
      </c>
      <c r="E17" s="34">
        <f>C17/$C$6</f>
        <v>0.33751734824266311</v>
      </c>
    </row>
    <row r="18" spans="1:5" ht="16" thickBot="1" x14ac:dyDescent="0.25">
      <c r="A18" s="50" t="s">
        <v>112</v>
      </c>
      <c r="B18" s="51">
        <f>B16-B17</f>
        <v>3.2586791333018192</v>
      </c>
      <c r="C18" s="51">
        <f>B18*$C$3</f>
        <v>97.760373999054579</v>
      </c>
      <c r="D18" s="61">
        <f>B18*$D$3</f>
        <v>651.73582666036384</v>
      </c>
      <c r="E18" s="34">
        <f>C18/$C$6</f>
        <v>0.19398840263277461</v>
      </c>
    </row>
    <row r="19" spans="1:5" ht="16" thickTop="1" x14ac:dyDescent="0.2">
      <c r="B19" s="49"/>
      <c r="C19" s="49"/>
      <c r="D19" s="9"/>
    </row>
    <row r="20" spans="1:5" x14ac:dyDescent="0.2">
      <c r="A20" t="s">
        <v>148</v>
      </c>
      <c r="B20" s="47">
        <f>B18/B6</f>
        <v>0.19398840263277461</v>
      </c>
      <c r="C20" s="9"/>
      <c r="D20" s="9"/>
    </row>
    <row r="21" spans="1:5" x14ac:dyDescent="0.2">
      <c r="A21" t="s">
        <v>149</v>
      </c>
      <c r="B21" s="40">
        <f>B18/B17</f>
        <v>0.57475090878381685</v>
      </c>
      <c r="C21" s="9"/>
      <c r="D21" s="9"/>
    </row>
  </sheetData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Verkaufsprovisionen!$A$2:$A$22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7"/>
  </sheetPr>
  <dimension ref="A1:E21"/>
  <sheetViews>
    <sheetView workbookViewId="0">
      <selection activeCell="A17" sqref="A17"/>
    </sheetView>
  </sheetViews>
  <sheetFormatPr baseColWidth="10" defaultRowHeight="15" x14ac:dyDescent="0.2"/>
  <cols>
    <col min="1" max="1" width="27.6640625" customWidth="1"/>
    <col min="2" max="2" width="19.33203125" customWidth="1"/>
    <col min="4" max="4" width="11.33203125" bestFit="1" customWidth="1"/>
  </cols>
  <sheetData>
    <row r="1" spans="1:5" ht="24" x14ac:dyDescent="0.3">
      <c r="A1" s="36" t="s">
        <v>155</v>
      </c>
    </row>
    <row r="2" spans="1:5" x14ac:dyDescent="0.2">
      <c r="A2" s="39"/>
      <c r="B2" s="15" t="s">
        <v>56</v>
      </c>
      <c r="C2" s="15" t="s">
        <v>111</v>
      </c>
      <c r="D2" s="15" t="s">
        <v>57</v>
      </c>
      <c r="E2" s="15" t="s">
        <v>64</v>
      </c>
    </row>
    <row r="3" spans="1:5" x14ac:dyDescent="0.2">
      <c r="A3" s="43" t="s">
        <v>137</v>
      </c>
      <c r="C3" s="26">
        <v>30</v>
      </c>
      <c r="D3" s="77">
        <f>Bestellmenge</f>
        <v>200</v>
      </c>
      <c r="E3" s="44"/>
    </row>
    <row r="4" spans="1:5" x14ac:dyDescent="0.2">
      <c r="A4" s="3" t="s">
        <v>67</v>
      </c>
      <c r="B4" s="93">
        <v>19.989999999999998</v>
      </c>
      <c r="C4" s="94">
        <f>B4*$C$3</f>
        <v>599.69999999999993</v>
      </c>
      <c r="D4" s="95">
        <f>B4*$D$3</f>
        <v>3997.9999999999995</v>
      </c>
      <c r="E4" s="34">
        <f>B4/$B$4</f>
        <v>1</v>
      </c>
    </row>
    <row r="6" spans="1:5" x14ac:dyDescent="0.2">
      <c r="A6" s="63" t="s">
        <v>70</v>
      </c>
      <c r="B6" s="26" t="s">
        <v>93</v>
      </c>
    </row>
    <row r="7" spans="1:5" x14ac:dyDescent="0.2">
      <c r="A7" s="63" t="s">
        <v>71</v>
      </c>
      <c r="B7" s="66">
        <f>VLOOKUP(B6,Verkaufsprovisionen!A2:C22,2,FALSE)</f>
        <v>0.12</v>
      </c>
      <c r="C7" s="67"/>
      <c r="D7" s="67"/>
    </row>
    <row r="8" spans="1:5" x14ac:dyDescent="0.2">
      <c r="A8" s="63" t="s">
        <v>141</v>
      </c>
      <c r="B8" s="68">
        <f>MAX(B7*B4,VLOOKUP(B6,Verkaufsprovisionen!A2:C22,3,FALSE))</f>
        <v>2.3987999999999996</v>
      </c>
      <c r="C8" s="68">
        <f>B8*$C$3</f>
        <v>71.963999999999984</v>
      </c>
      <c r="D8" s="69">
        <f>B8*$D$3</f>
        <v>479.75999999999993</v>
      </c>
      <c r="E8" s="34">
        <f>B8/$B$4</f>
        <v>0.12</v>
      </c>
    </row>
    <row r="9" spans="1:5" x14ac:dyDescent="0.2">
      <c r="A9" s="63" t="s">
        <v>110</v>
      </c>
      <c r="B9" s="68">
        <f>IF(B6="Bücher, Musik, VHS, DVD",1.01,0)</f>
        <v>0</v>
      </c>
      <c r="C9" s="68">
        <f>B9*$C$3</f>
        <v>0</v>
      </c>
      <c r="D9" s="69">
        <f>B9*$D$3</f>
        <v>0</v>
      </c>
      <c r="E9" s="34">
        <f>B9/$B$4</f>
        <v>0</v>
      </c>
    </row>
    <row r="10" spans="1:5" x14ac:dyDescent="0.2">
      <c r="A10" s="63" t="s">
        <v>72</v>
      </c>
      <c r="B10" s="68">
        <f>FBA!B40</f>
        <v>4.8600000000000003</v>
      </c>
      <c r="C10" s="68">
        <f>B10*$C$3</f>
        <v>145.80000000000001</v>
      </c>
      <c r="D10" s="69">
        <f>B10*$D$3</f>
        <v>972.00000000000011</v>
      </c>
      <c r="E10" s="34">
        <f>B10/$B$4</f>
        <v>0.24312156078039024</v>
      </c>
    </row>
    <row r="11" spans="1:5" x14ac:dyDescent="0.2">
      <c r="A11" s="63" t="s">
        <v>24</v>
      </c>
      <c r="B11" s="70">
        <f>D11/D3</f>
        <v>0.61111599999999999</v>
      </c>
      <c r="C11" s="70">
        <f>FBA!B18</f>
        <v>18.333479999999998</v>
      </c>
      <c r="D11" s="70">
        <f>FBA!B19</f>
        <v>122.22319999999999</v>
      </c>
      <c r="E11" s="34"/>
    </row>
    <row r="12" spans="1:5" x14ac:dyDescent="0.2">
      <c r="A12" s="90" t="s">
        <v>156</v>
      </c>
      <c r="B12" s="91">
        <f>SUM(B8:B11)</f>
        <v>7.8699159999999999</v>
      </c>
      <c r="C12" s="91">
        <f>B12*$C$3</f>
        <v>236.09747999999999</v>
      </c>
      <c r="D12" s="92">
        <f>B12*$D$3</f>
        <v>1573.9831999999999</v>
      </c>
      <c r="E12" s="34"/>
    </row>
    <row r="13" spans="1:5" x14ac:dyDescent="0.2">
      <c r="A13" s="89" t="s">
        <v>157</v>
      </c>
      <c r="B13" s="96">
        <f>B12*0.19</f>
        <v>1.49528404</v>
      </c>
      <c r="C13" s="96">
        <f t="shared" ref="C13:D13" si="0">C12*0.19</f>
        <v>44.858521199999998</v>
      </c>
      <c r="D13" s="96">
        <f t="shared" si="0"/>
        <v>299.05680799999999</v>
      </c>
      <c r="E13" s="34"/>
    </row>
    <row r="14" spans="1:5" x14ac:dyDescent="0.2">
      <c r="A14" s="71" t="s">
        <v>158</v>
      </c>
      <c r="B14" s="64">
        <f>B12+B13</f>
        <v>9.3652000399999995</v>
      </c>
      <c r="C14" s="64">
        <f t="shared" ref="C14:D14" si="1">C12+C13</f>
        <v>280.9560012</v>
      </c>
      <c r="D14" s="64">
        <f t="shared" si="1"/>
        <v>1873.0400079999999</v>
      </c>
      <c r="E14" s="34">
        <f>B14/$B$4</f>
        <v>0.46849424912456228</v>
      </c>
    </row>
    <row r="15" spans="1:5" x14ac:dyDescent="0.2">
      <c r="B15" s="49"/>
      <c r="C15" s="49"/>
      <c r="D15" s="49"/>
    </row>
    <row r="16" spans="1:5" x14ac:dyDescent="0.2">
      <c r="A16" t="s">
        <v>161</v>
      </c>
      <c r="B16" s="25">
        <f>B4-B14</f>
        <v>10.624799959999999</v>
      </c>
      <c r="C16" s="25">
        <f>B16*$C$3</f>
        <v>318.74399879999999</v>
      </c>
      <c r="D16" s="60">
        <f>B16*$D$3</f>
        <v>2124.9599919999996</v>
      </c>
      <c r="E16" s="34">
        <f>B16/$B$4</f>
        <v>0.53150575087543772</v>
      </c>
    </row>
    <row r="17" spans="1:5" x14ac:dyDescent="0.2">
      <c r="A17" t="str">
        <f>"Stückkosten inkl. USt."</f>
        <v>Stückkosten inkl. USt.</v>
      </c>
      <c r="B17" s="48">
        <f>Einkauf!B19</f>
        <v>6.7469717913708358</v>
      </c>
      <c r="C17" s="48">
        <f>B17*$C$3</f>
        <v>202.40915374112507</v>
      </c>
      <c r="D17" s="60">
        <f>B17*$D$3</f>
        <v>1349.3943582741672</v>
      </c>
      <c r="E17" s="34">
        <f>B17/$B$4</f>
        <v>0.33751734824266316</v>
      </c>
    </row>
    <row r="18" spans="1:5" ht="16" thickBot="1" x14ac:dyDescent="0.25">
      <c r="A18" s="50" t="s">
        <v>159</v>
      </c>
      <c r="B18" s="51">
        <f>B16-B17</f>
        <v>3.8778281686291631</v>
      </c>
      <c r="C18" s="51">
        <f>B18*$C$3</f>
        <v>116.33484505887489</v>
      </c>
      <c r="D18" s="61">
        <f>B18*$D$3</f>
        <v>775.56563372583264</v>
      </c>
      <c r="E18" s="34">
        <f>B18/$B$4</f>
        <v>0.19398840263277456</v>
      </c>
    </row>
    <row r="19" spans="1:5" ht="16" thickTop="1" x14ac:dyDescent="0.2">
      <c r="B19" s="49"/>
      <c r="C19" s="49"/>
      <c r="D19" s="9"/>
    </row>
    <row r="20" spans="1:5" x14ac:dyDescent="0.2">
      <c r="A20" t="s">
        <v>148</v>
      </c>
      <c r="B20" s="47">
        <f>B18/B4</f>
        <v>0.19398840263277456</v>
      </c>
      <c r="C20" s="9"/>
      <c r="D20" s="9"/>
    </row>
    <row r="21" spans="1:5" x14ac:dyDescent="0.2">
      <c r="A21" t="s">
        <v>149</v>
      </c>
      <c r="B21" s="40">
        <f>B18/B17</f>
        <v>0.57475090878381663</v>
      </c>
      <c r="C21" s="9"/>
      <c r="D21" s="9"/>
    </row>
  </sheetData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Verkaufsprovisionen!$A$2:$A$22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H32"/>
  <sheetViews>
    <sheetView topLeftCell="A4" workbookViewId="0">
      <selection activeCell="C6" sqref="C6"/>
    </sheetView>
  </sheetViews>
  <sheetFormatPr baseColWidth="10" defaultRowHeight="15" x14ac:dyDescent="0.2"/>
  <cols>
    <col min="1" max="5" width="14.33203125" customWidth="1"/>
    <col min="6" max="6" width="19.33203125" customWidth="1"/>
  </cols>
  <sheetData>
    <row r="1" spans="1:8" ht="24" x14ac:dyDescent="0.3">
      <c r="A1" s="36" t="s">
        <v>129</v>
      </c>
    </row>
    <row r="2" spans="1:8" ht="13.5" customHeight="1" x14ac:dyDescent="0.3">
      <c r="A2" s="36"/>
    </row>
    <row r="3" spans="1:8" x14ac:dyDescent="0.2">
      <c r="A3" s="74" t="s">
        <v>134</v>
      </c>
    </row>
    <row r="4" spans="1:8" x14ac:dyDescent="0.2">
      <c r="A4" s="74" t="s">
        <v>135</v>
      </c>
    </row>
    <row r="5" spans="1:8" x14ac:dyDescent="0.2">
      <c r="A5" s="74"/>
    </row>
    <row r="6" spans="1:8" ht="28.25" customHeight="1" x14ac:dyDescent="0.2">
      <c r="A6" s="100" t="s">
        <v>142</v>
      </c>
      <c r="B6" s="101"/>
      <c r="C6" s="79">
        <v>5</v>
      </c>
      <c r="D6" s="80">
        <v>0.2</v>
      </c>
      <c r="E6" s="81" t="s">
        <v>139</v>
      </c>
    </row>
    <row r="8" spans="1:8" ht="45" x14ac:dyDescent="0.2">
      <c r="A8" s="16" t="s">
        <v>130</v>
      </c>
      <c r="B8" s="16" t="s">
        <v>131</v>
      </c>
      <c r="C8" s="16" t="s">
        <v>138</v>
      </c>
      <c r="D8" s="16" t="s">
        <v>140</v>
      </c>
      <c r="E8" s="16" t="s">
        <v>132</v>
      </c>
      <c r="F8" s="16" t="s">
        <v>133</v>
      </c>
    </row>
    <row r="9" spans="1:8" x14ac:dyDescent="0.2">
      <c r="A9" s="72">
        <v>0.01</v>
      </c>
      <c r="B9" s="75">
        <f>A9*Einkauf!$B$18*Bestellmenge*-1</f>
        <v>-11.339448388858548</v>
      </c>
      <c r="C9" s="78">
        <f>('Verkauf (netto)'!$B$10-MIN($C$6,'Verkauf (netto)'!$B$10*'Auswirkung Retouren'!$D$6))*A9*Bestellmenge</f>
        <v>3.8380799999999993</v>
      </c>
      <c r="D9" s="76">
        <f>'Verkauf (netto)'!$D$18+B9+C9</f>
        <v>644.23445827150533</v>
      </c>
      <c r="E9" s="76">
        <f>A9*'Verkauf (netto)'!$D$3*FBA!$B$31*-1</f>
        <v>-8.7200000000000006</v>
      </c>
      <c r="F9" s="76">
        <f>D9+E9</f>
        <v>635.5144582715053</v>
      </c>
    </row>
    <row r="10" spans="1:8" x14ac:dyDescent="0.2">
      <c r="A10" s="72">
        <v>2.5000000000000001E-2</v>
      </c>
      <c r="B10" s="75">
        <f>A10*Einkauf!$B$18*Bestellmenge*-1</f>
        <v>-28.348620972146371</v>
      </c>
      <c r="C10" s="78">
        <f>('Verkauf (netto)'!$B$10-MIN($C$6,'Verkauf (netto)'!$B$10*'Auswirkung Retouren'!$D$6))*A10*Bestellmenge</f>
        <v>9.5951999999999984</v>
      </c>
      <c r="D10" s="76">
        <f>'Verkauf (netto)'!$D$18+B10+C10</f>
        <v>632.98240568821745</v>
      </c>
      <c r="E10" s="76">
        <f>A10*'Verkauf (netto)'!$D$3*FBA!$B$31*-1</f>
        <v>-21.8</v>
      </c>
      <c r="F10" s="76">
        <f t="shared" ref="F10:F32" si="0">D10+E10</f>
        <v>611.1824056882175</v>
      </c>
    </row>
    <row r="11" spans="1:8" x14ac:dyDescent="0.2">
      <c r="A11" s="72">
        <f>A10+0.025</f>
        <v>0.05</v>
      </c>
      <c r="B11" s="75">
        <f>A11*Einkauf!$B$18*Bestellmenge*-1</f>
        <v>-56.697241944292742</v>
      </c>
      <c r="C11" s="78">
        <f>('Verkauf (netto)'!$B$10-MIN($C$6,'Verkauf (netto)'!$B$10*'Auswirkung Retouren'!$D$6))*A11*Bestellmenge</f>
        <v>19.190399999999997</v>
      </c>
      <c r="D11" s="76">
        <f>'Verkauf (netto)'!$D$18+B11+C11</f>
        <v>614.22898471607107</v>
      </c>
      <c r="E11" s="76">
        <f>A11*'Verkauf (netto)'!$D$3*FBA!$B$31*-1</f>
        <v>-43.6</v>
      </c>
      <c r="F11" s="76">
        <f t="shared" si="0"/>
        <v>570.62898471607105</v>
      </c>
    </row>
    <row r="12" spans="1:8" x14ac:dyDescent="0.2">
      <c r="A12" s="72">
        <f t="shared" ref="A12:A17" si="1">A11+0.025</f>
        <v>7.5000000000000011E-2</v>
      </c>
      <c r="B12" s="75">
        <f>A12*Einkauf!$B$18*Bestellmenge*-1</f>
        <v>-85.04586291643912</v>
      </c>
      <c r="C12" s="78">
        <f>('Verkauf (netto)'!$B$10-MIN($C$6,'Verkauf (netto)'!$B$10*'Auswirkung Retouren'!$D$6))*A12*Bestellmenge</f>
        <v>28.785599999999999</v>
      </c>
      <c r="D12" s="76">
        <f>'Verkauf (netto)'!$D$18+B12+C12</f>
        <v>595.47556374392479</v>
      </c>
      <c r="E12" s="76">
        <f>A12*'Verkauf (netto)'!$D$3*FBA!$B$31*-1</f>
        <v>-65.400000000000006</v>
      </c>
      <c r="F12" s="76">
        <f t="shared" si="0"/>
        <v>530.07556374392482</v>
      </c>
      <c r="H12" s="35"/>
    </row>
    <row r="13" spans="1:8" x14ac:dyDescent="0.2">
      <c r="A13" s="72">
        <f t="shared" si="1"/>
        <v>0.1</v>
      </c>
      <c r="B13" s="75">
        <f>A13*Einkauf!$B$18*Bestellmenge*-1</f>
        <v>-113.39448388858548</v>
      </c>
      <c r="C13" s="78">
        <f>('Verkauf (netto)'!$B$10-MIN($C$6,'Verkauf (netto)'!$B$10*'Auswirkung Retouren'!$D$6))*A13*Bestellmenge</f>
        <v>38.380799999999994</v>
      </c>
      <c r="D13" s="76">
        <f>'Verkauf (netto)'!$D$18+B13+C13</f>
        <v>576.72214277177841</v>
      </c>
      <c r="E13" s="76">
        <f>A13*'Verkauf (netto)'!$D$3*FBA!$B$31*-1</f>
        <v>-87.2</v>
      </c>
      <c r="F13" s="76">
        <f t="shared" si="0"/>
        <v>489.52214277177842</v>
      </c>
    </row>
    <row r="14" spans="1:8" x14ac:dyDescent="0.2">
      <c r="A14" s="72">
        <f t="shared" si="1"/>
        <v>0.125</v>
      </c>
      <c r="B14" s="75">
        <f>A14*Einkauf!$B$18*Bestellmenge*-1</f>
        <v>-141.74310486073185</v>
      </c>
      <c r="C14" s="78">
        <f>('Verkauf (netto)'!$B$10-MIN($C$6,'Verkauf (netto)'!$B$10*'Auswirkung Retouren'!$D$6))*A14*Bestellmenge</f>
        <v>47.975999999999992</v>
      </c>
      <c r="D14" s="76">
        <f>'Verkauf (netto)'!$D$18+B14+C14</f>
        <v>557.96872179963202</v>
      </c>
      <c r="E14" s="76">
        <f>A14*'Verkauf (netto)'!$D$3*FBA!$B$31*-1</f>
        <v>-109.00000000000001</v>
      </c>
      <c r="F14" s="76">
        <f t="shared" si="0"/>
        <v>448.96872179963202</v>
      </c>
    </row>
    <row r="15" spans="1:8" x14ac:dyDescent="0.2">
      <c r="A15" s="72">
        <f t="shared" si="1"/>
        <v>0.15</v>
      </c>
      <c r="B15" s="75">
        <f>A15*Einkauf!$B$18*Bestellmenge*-1</f>
        <v>-170.09172583287821</v>
      </c>
      <c r="C15" s="78">
        <f>('Verkauf (netto)'!$B$10-MIN($C$6,'Verkauf (netto)'!$B$10*'Auswirkung Retouren'!$D$6))*A15*Bestellmenge</f>
        <v>57.57119999999999</v>
      </c>
      <c r="D15" s="76">
        <f>'Verkauf (netto)'!$D$18+B15+C15</f>
        <v>539.21530082748563</v>
      </c>
      <c r="E15" s="76">
        <f>A15*'Verkauf (netto)'!$D$3*FBA!$B$31*-1</f>
        <v>-130.80000000000001</v>
      </c>
      <c r="F15" s="76">
        <f t="shared" si="0"/>
        <v>408.41530082748562</v>
      </c>
    </row>
    <row r="16" spans="1:8" x14ac:dyDescent="0.2">
      <c r="A16" s="72">
        <f t="shared" si="1"/>
        <v>0.17499999999999999</v>
      </c>
      <c r="B16" s="75">
        <f>A16*Einkauf!$B$18*Bestellmenge*-1</f>
        <v>-198.44034680502457</v>
      </c>
      <c r="C16" s="78">
        <f>('Verkauf (netto)'!$B$10-MIN($C$6,'Verkauf (netto)'!$B$10*'Auswirkung Retouren'!$D$6))*A16*Bestellmenge</f>
        <v>67.166399999999982</v>
      </c>
      <c r="D16" s="76">
        <f>'Verkauf (netto)'!$D$18+B16+C16</f>
        <v>520.46187985533925</v>
      </c>
      <c r="E16" s="76">
        <f>A16*'Verkauf (netto)'!$D$3*FBA!$B$31*-1</f>
        <v>-152.60000000000002</v>
      </c>
      <c r="F16" s="76">
        <f t="shared" si="0"/>
        <v>367.86187985533923</v>
      </c>
    </row>
    <row r="17" spans="1:6" x14ac:dyDescent="0.2">
      <c r="A17" s="72">
        <f t="shared" si="1"/>
        <v>0.19999999999999998</v>
      </c>
      <c r="B17" s="75">
        <f>A17*Einkauf!$B$18*Bestellmenge*-1</f>
        <v>-226.78896777717091</v>
      </c>
      <c r="C17" s="78">
        <f>('Verkauf (netto)'!$B$10-MIN($C$6,'Verkauf (netto)'!$B$10*'Auswirkung Retouren'!$D$6))*A17*Bestellmenge</f>
        <v>76.761599999999973</v>
      </c>
      <c r="D17" s="76">
        <f>'Verkauf (netto)'!$D$18+B17+C17</f>
        <v>501.70845888319292</v>
      </c>
      <c r="E17" s="76">
        <f>A17*'Verkauf (netto)'!$D$3*FBA!$B$31*-1</f>
        <v>-174.4</v>
      </c>
      <c r="F17" s="76">
        <f t="shared" si="0"/>
        <v>327.30845888319288</v>
      </c>
    </row>
    <row r="18" spans="1:6" x14ac:dyDescent="0.2">
      <c r="A18" s="72">
        <v>0.25</v>
      </c>
      <c r="B18" s="75">
        <f>A18*Einkauf!$B$18*Bestellmenge*-1</f>
        <v>-283.48620972146369</v>
      </c>
      <c r="C18" s="78">
        <f>('Verkauf (netto)'!$B$10-MIN($C$6,'Verkauf (netto)'!$B$10*'Auswirkung Retouren'!$D$6))*A18*Bestellmenge</f>
        <v>95.951999999999984</v>
      </c>
      <c r="D18" s="76">
        <f>'Verkauf (netto)'!$D$18+B18+C18</f>
        <v>464.20161693890014</v>
      </c>
      <c r="E18" s="76">
        <f>A18*'Verkauf (netto)'!$D$3*FBA!$B$31*-1</f>
        <v>-218.00000000000003</v>
      </c>
      <c r="F18" s="76">
        <f t="shared" si="0"/>
        <v>246.20161693890012</v>
      </c>
    </row>
    <row r="19" spans="1:6" x14ac:dyDescent="0.2">
      <c r="A19" s="73">
        <f>A18+0.05</f>
        <v>0.3</v>
      </c>
      <c r="B19" s="75">
        <f>A19*Einkauf!$B$18*Bestellmenge*-1</f>
        <v>-340.18345166575642</v>
      </c>
      <c r="C19" s="78">
        <f>('Verkauf (netto)'!$B$10-MIN($C$6,'Verkauf (netto)'!$B$10*'Auswirkung Retouren'!$D$6))*A19*Bestellmenge</f>
        <v>115.14239999999998</v>
      </c>
      <c r="D19" s="76">
        <f>'Verkauf (netto)'!$D$18+B19+C19</f>
        <v>426.69477499460743</v>
      </c>
      <c r="E19" s="76">
        <f>A19*'Verkauf (netto)'!$D$3*FBA!$B$31*-1</f>
        <v>-261.60000000000002</v>
      </c>
      <c r="F19" s="76">
        <f t="shared" si="0"/>
        <v>165.09477499460741</v>
      </c>
    </row>
    <row r="20" spans="1:6" x14ac:dyDescent="0.2">
      <c r="A20" s="73">
        <f t="shared" ref="A20:A27" si="2">A19+0.05</f>
        <v>0.35</v>
      </c>
      <c r="B20" s="75">
        <f>A20*Einkauf!$B$18*Bestellmenge*-1</f>
        <v>-396.88069361004915</v>
      </c>
      <c r="C20" s="78">
        <f>('Verkauf (netto)'!$B$10-MIN($C$6,'Verkauf (netto)'!$B$10*'Auswirkung Retouren'!$D$6))*A20*Bestellmenge</f>
        <v>134.33279999999996</v>
      </c>
      <c r="D20" s="76">
        <f>'Verkauf (netto)'!$D$18+B20+C20</f>
        <v>389.18793305031465</v>
      </c>
      <c r="E20" s="76">
        <f>A20*'Verkauf (netto)'!$D$3*FBA!$B$31*-1</f>
        <v>-305.20000000000005</v>
      </c>
      <c r="F20" s="76">
        <f t="shared" si="0"/>
        <v>83.987933050314609</v>
      </c>
    </row>
    <row r="21" spans="1:6" x14ac:dyDescent="0.2">
      <c r="A21" s="73">
        <f t="shared" si="2"/>
        <v>0.39999999999999997</v>
      </c>
      <c r="B21" s="75">
        <f>A21*Einkauf!$B$18*Bestellmenge*-1</f>
        <v>-453.57793555434182</v>
      </c>
      <c r="C21" s="78">
        <f>('Verkauf (netto)'!$B$10-MIN($C$6,'Verkauf (netto)'!$B$10*'Auswirkung Retouren'!$D$6))*A21*Bestellmenge</f>
        <v>153.52319999999995</v>
      </c>
      <c r="D21" s="76">
        <f>'Verkauf (netto)'!$D$18+B21+C21</f>
        <v>351.681091106022</v>
      </c>
      <c r="E21" s="76">
        <f>A21*'Verkauf (netto)'!$D$3*FBA!$B$31*-1</f>
        <v>-348.8</v>
      </c>
      <c r="F21" s="76">
        <f t="shared" si="0"/>
        <v>2.8810911060219837</v>
      </c>
    </row>
    <row r="22" spans="1:6" x14ac:dyDescent="0.2">
      <c r="A22" s="73">
        <f t="shared" si="2"/>
        <v>0.44999999999999996</v>
      </c>
      <c r="B22" s="75">
        <f>A22*Einkauf!$B$18*Bestellmenge*-1</f>
        <v>-510.2751774986346</v>
      </c>
      <c r="C22" s="78">
        <f>('Verkauf (netto)'!$B$10-MIN($C$6,'Verkauf (netto)'!$B$10*'Auswirkung Retouren'!$D$6))*A22*Bestellmenge</f>
        <v>172.71359999999996</v>
      </c>
      <c r="D22" s="76">
        <f>'Verkauf (netto)'!$D$18+B22+C22</f>
        <v>314.17424916172922</v>
      </c>
      <c r="E22" s="76">
        <f>A22*'Verkauf (netto)'!$D$3*FBA!$B$31*-1</f>
        <v>-392.4</v>
      </c>
      <c r="F22" s="76">
        <f t="shared" si="0"/>
        <v>-78.225750838270756</v>
      </c>
    </row>
    <row r="23" spans="1:6" x14ac:dyDescent="0.2">
      <c r="A23" s="73">
        <f t="shared" si="2"/>
        <v>0.49999999999999994</v>
      </c>
      <c r="B23" s="75">
        <f>A23*Einkauf!$B$18*Bestellmenge*-1</f>
        <v>-566.97241944292728</v>
      </c>
      <c r="C23" s="78">
        <f>('Verkauf (netto)'!$B$10-MIN($C$6,'Verkauf (netto)'!$B$10*'Auswirkung Retouren'!$D$6))*A23*Bestellmenge</f>
        <v>191.90399999999994</v>
      </c>
      <c r="D23" s="76">
        <f>'Verkauf (netto)'!$D$18+B23+C23</f>
        <v>276.66740721743651</v>
      </c>
      <c r="E23" s="76">
        <f>A23*'Verkauf (netto)'!$D$3*FBA!$B$31*-1</f>
        <v>-435.99999999999994</v>
      </c>
      <c r="F23" s="76">
        <f t="shared" si="0"/>
        <v>-159.33259278256344</v>
      </c>
    </row>
    <row r="24" spans="1:6" x14ac:dyDescent="0.2">
      <c r="A24" s="73">
        <f t="shared" si="2"/>
        <v>0.54999999999999993</v>
      </c>
      <c r="B24" s="75">
        <f>A24*Einkauf!$B$18*Bestellmenge*-1</f>
        <v>-623.66966138722</v>
      </c>
      <c r="C24" s="78">
        <f>('Verkauf (netto)'!$B$10-MIN($C$6,'Verkauf (netto)'!$B$10*'Auswirkung Retouren'!$D$6))*A24*Bestellmenge</f>
        <v>211.09439999999995</v>
      </c>
      <c r="D24" s="76">
        <f>'Verkauf (netto)'!$D$18+B24+C24</f>
        <v>239.16056527314379</v>
      </c>
      <c r="E24" s="76">
        <f>A24*'Verkauf (netto)'!$D$3*FBA!$B$31*-1</f>
        <v>-479.59999999999997</v>
      </c>
      <c r="F24" s="76">
        <f t="shared" si="0"/>
        <v>-240.43943472685618</v>
      </c>
    </row>
    <row r="25" spans="1:6" x14ac:dyDescent="0.2">
      <c r="A25" s="73">
        <f t="shared" si="2"/>
        <v>0.6</v>
      </c>
      <c r="B25" s="75">
        <f>A25*Einkauf!$B$18*Bestellmenge*-1</f>
        <v>-680.36690333151284</v>
      </c>
      <c r="C25" s="78">
        <f>('Verkauf (netto)'!$B$10-MIN($C$6,'Verkauf (netto)'!$B$10*'Auswirkung Retouren'!$D$6))*A25*Bestellmenge</f>
        <v>230.28479999999996</v>
      </c>
      <c r="D25" s="76">
        <f>'Verkauf (netto)'!$D$18+B25+C25</f>
        <v>201.65372332885096</v>
      </c>
      <c r="E25" s="76">
        <f>A25*'Verkauf (netto)'!$D$3*FBA!$B$31*-1</f>
        <v>-523.20000000000005</v>
      </c>
      <c r="F25" s="76">
        <f t="shared" si="0"/>
        <v>-321.54627667114909</v>
      </c>
    </row>
    <row r="26" spans="1:6" x14ac:dyDescent="0.2">
      <c r="A26" s="73">
        <f>A25+0.05</f>
        <v>0.65</v>
      </c>
      <c r="B26" s="75">
        <f>A26*Einkauf!$B$18*Bestellmenge*-1</f>
        <v>-737.06414527580569</v>
      </c>
      <c r="C26" s="78">
        <f>('Verkauf (netto)'!$B$10-MIN($C$6,'Verkauf (netto)'!$B$10*'Auswirkung Retouren'!$D$6))*A26*Bestellmenge</f>
        <v>249.47519999999997</v>
      </c>
      <c r="D26" s="76">
        <f>'Verkauf (netto)'!$D$18+B26+C26</f>
        <v>164.14688138455813</v>
      </c>
      <c r="E26" s="76">
        <f>A26*'Verkauf (netto)'!$D$3*FBA!$B$31*-1</f>
        <v>-566.80000000000007</v>
      </c>
      <c r="F26" s="76">
        <f t="shared" si="0"/>
        <v>-402.65311861544194</v>
      </c>
    </row>
    <row r="27" spans="1:6" x14ac:dyDescent="0.2">
      <c r="A27" s="73">
        <f t="shared" si="2"/>
        <v>0.70000000000000007</v>
      </c>
      <c r="B27" s="75">
        <f>A27*Einkauf!$B$18*Bestellmenge*-1</f>
        <v>-793.76138722009841</v>
      </c>
      <c r="C27" s="78">
        <f>('Verkauf (netto)'!$B$10-MIN($C$6,'Verkauf (netto)'!$B$10*'Auswirkung Retouren'!$D$6))*A27*Bestellmenge</f>
        <v>268.66559999999998</v>
      </c>
      <c r="D27" s="76">
        <f>'Verkauf (netto)'!$D$18+B27+C27</f>
        <v>126.64003944026541</v>
      </c>
      <c r="E27" s="76">
        <f>A27*'Verkauf (netto)'!$D$3*FBA!$B$31*-1</f>
        <v>-610.40000000000009</v>
      </c>
      <c r="F27" s="76">
        <f t="shared" si="0"/>
        <v>-483.75996055973468</v>
      </c>
    </row>
    <row r="28" spans="1:6" x14ac:dyDescent="0.2">
      <c r="A28" s="73">
        <f t="shared" ref="A28:A30" si="3">A27+0.05</f>
        <v>0.75000000000000011</v>
      </c>
      <c r="B28" s="75">
        <f>A28*Einkauf!$B$18*Bestellmenge*-1</f>
        <v>-850.45862916439125</v>
      </c>
      <c r="C28" s="78">
        <f>('Verkauf (netto)'!$B$10-MIN($C$6,'Verkauf (netto)'!$B$10*'Auswirkung Retouren'!$D$6))*A28*Bestellmenge</f>
        <v>287.85599999999999</v>
      </c>
      <c r="D28" s="76">
        <f>'Verkauf (netto)'!$D$18+B28+C28</f>
        <v>89.133197495972581</v>
      </c>
      <c r="E28" s="76">
        <f>A28*'Verkauf (netto)'!$D$3*FBA!$B$31*-1</f>
        <v>-654.00000000000023</v>
      </c>
      <c r="F28" s="76">
        <f t="shared" si="0"/>
        <v>-564.86680250402765</v>
      </c>
    </row>
    <row r="29" spans="1:6" x14ac:dyDescent="0.2">
      <c r="A29" s="73">
        <f t="shared" si="3"/>
        <v>0.80000000000000016</v>
      </c>
      <c r="B29" s="75">
        <f>A29*Einkauf!$B$18*Bestellmenge*-1</f>
        <v>-907.1558711086841</v>
      </c>
      <c r="C29" s="78">
        <f>('Verkauf (netto)'!$B$10-MIN($C$6,'Verkauf (netto)'!$B$10*'Auswirkung Retouren'!$D$6))*A29*Bestellmenge</f>
        <v>307.04640000000001</v>
      </c>
      <c r="D29" s="76">
        <f>'Verkauf (netto)'!$D$18+B29+C29</f>
        <v>51.626355551679751</v>
      </c>
      <c r="E29" s="76">
        <f>A29*'Verkauf (netto)'!$D$3*FBA!$B$31*-1</f>
        <v>-697.60000000000014</v>
      </c>
      <c r="F29" s="76">
        <f t="shared" si="0"/>
        <v>-645.97364444832033</v>
      </c>
    </row>
    <row r="30" spans="1:6" x14ac:dyDescent="0.2">
      <c r="A30" s="73">
        <f t="shared" si="3"/>
        <v>0.8500000000000002</v>
      </c>
      <c r="B30" s="75">
        <f>A30*Einkauf!$B$18*Bestellmenge*-1</f>
        <v>-963.85311305297682</v>
      </c>
      <c r="C30" s="78">
        <f>('Verkauf (netto)'!$B$10-MIN($C$6,'Verkauf (netto)'!$B$10*'Auswirkung Retouren'!$D$6))*A30*Bestellmenge</f>
        <v>326.23680000000002</v>
      </c>
      <c r="D30" s="76">
        <f>'Verkauf (netto)'!$D$18+B30+C30</f>
        <v>14.119513607387034</v>
      </c>
      <c r="E30" s="76">
        <f>A30*'Verkauf (netto)'!$D$3*FBA!$B$31*-1</f>
        <v>-741.20000000000016</v>
      </c>
      <c r="F30" s="76">
        <f t="shared" si="0"/>
        <v>-727.08048639261312</v>
      </c>
    </row>
    <row r="31" spans="1:6" x14ac:dyDescent="0.2">
      <c r="A31" s="73">
        <f t="shared" ref="A31:A32" si="4">A30+0.05</f>
        <v>0.90000000000000024</v>
      </c>
      <c r="B31" s="75">
        <f>A31*Einkauf!$B$18*Bestellmenge*-1</f>
        <v>-1020.5503549972696</v>
      </c>
      <c r="C31" s="78">
        <f>('Verkauf (netto)'!$B$10-MIN($C$6,'Verkauf (netto)'!$B$10*'Auswirkung Retouren'!$D$6))*A31*Bestellmenge</f>
        <v>345.42720000000003</v>
      </c>
      <c r="D31" s="76">
        <f>'Verkauf (netto)'!$D$18+B31+C31</f>
        <v>-23.387328336905682</v>
      </c>
      <c r="E31" s="76">
        <f>A31*'Verkauf (netto)'!$D$3*FBA!$B$31*-1</f>
        <v>-784.8000000000003</v>
      </c>
      <c r="F31" s="76">
        <f t="shared" si="0"/>
        <v>-808.18732833690592</v>
      </c>
    </row>
    <row r="32" spans="1:6" x14ac:dyDescent="0.2">
      <c r="A32" s="73">
        <f t="shared" si="4"/>
        <v>0.95000000000000029</v>
      </c>
      <c r="B32" s="75">
        <f>A32*Einkauf!$B$18*Bestellmenge*-1</f>
        <v>-1077.2475969415623</v>
      </c>
      <c r="C32" s="78">
        <f>('Verkauf (netto)'!$B$10-MIN($C$6,'Verkauf (netto)'!$B$10*'Auswirkung Retouren'!$D$6))*A32*Bestellmenge</f>
        <v>364.61760000000004</v>
      </c>
      <c r="D32" s="76">
        <f>'Verkauf (netto)'!$D$18+B32+C32</f>
        <v>-60.894170281198399</v>
      </c>
      <c r="E32" s="76">
        <f>A32*'Verkauf (netto)'!$D$3*FBA!$B$31*-1</f>
        <v>-828.40000000000032</v>
      </c>
      <c r="F32" s="76">
        <f t="shared" si="0"/>
        <v>-889.29417028119872</v>
      </c>
    </row>
  </sheetData>
  <mergeCells count="1">
    <mergeCell ref="A6:B6"/>
  </mergeCells>
  <conditionalFormatting sqref="A9:A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5" zoomScaleNormal="85" workbookViewId="0">
      <selection activeCell="K14" sqref="K14"/>
    </sheetView>
  </sheetViews>
  <sheetFormatPr baseColWidth="10" defaultRowHeight="15" x14ac:dyDescent="0.2"/>
  <cols>
    <col min="1" max="1" width="28.5" bestFit="1" customWidth="1"/>
    <col min="2" max="2" width="15.33203125" customWidth="1"/>
    <col min="3" max="3" width="29.33203125" style="8" customWidth="1"/>
    <col min="9" max="9" width="10.5" customWidth="1"/>
  </cols>
  <sheetData>
    <row r="1" spans="1:10" ht="45" x14ac:dyDescent="0.2">
      <c r="A1" s="14" t="s">
        <v>74</v>
      </c>
      <c r="B1" s="41" t="s">
        <v>75</v>
      </c>
      <c r="C1" s="16" t="s">
        <v>76</v>
      </c>
    </row>
    <row r="2" spans="1:10" x14ac:dyDescent="0.2">
      <c r="A2" t="s">
        <v>77</v>
      </c>
      <c r="B2" s="35">
        <v>0.15</v>
      </c>
      <c r="C2" s="22">
        <v>0.5</v>
      </c>
      <c r="J2" s="35"/>
    </row>
    <row r="3" spans="1:10" x14ac:dyDescent="0.2">
      <c r="A3" t="s">
        <v>78</v>
      </c>
      <c r="B3" s="35">
        <v>0.12</v>
      </c>
      <c r="C3" s="22">
        <v>0.5</v>
      </c>
      <c r="J3" s="35"/>
    </row>
    <row r="4" spans="1:10" x14ac:dyDescent="0.2">
      <c r="A4" t="s">
        <v>91</v>
      </c>
      <c r="B4" s="35">
        <v>0.15</v>
      </c>
      <c r="C4" s="8">
        <v>0</v>
      </c>
    </row>
    <row r="5" spans="1:10" x14ac:dyDescent="0.2">
      <c r="A5" t="s">
        <v>79</v>
      </c>
      <c r="B5" s="35">
        <v>0.15</v>
      </c>
      <c r="C5" s="8">
        <v>0</v>
      </c>
      <c r="J5" s="35"/>
    </row>
    <row r="6" spans="1:10" x14ac:dyDescent="0.2">
      <c r="A6" t="s">
        <v>80</v>
      </c>
      <c r="B6" s="35">
        <v>7.0000000000000007E-2</v>
      </c>
      <c r="C6" s="22">
        <v>0.5</v>
      </c>
      <c r="J6" s="35"/>
    </row>
    <row r="7" spans="1:10" x14ac:dyDescent="0.2">
      <c r="A7" t="s">
        <v>92</v>
      </c>
      <c r="B7" s="35">
        <v>0.12</v>
      </c>
      <c r="C7" s="22">
        <v>0.5</v>
      </c>
      <c r="J7" s="35"/>
    </row>
    <row r="8" spans="1:10" x14ac:dyDescent="0.2">
      <c r="A8" t="s">
        <v>81</v>
      </c>
      <c r="B8" s="35">
        <v>7.0000000000000007E-2</v>
      </c>
      <c r="C8" s="22">
        <v>0.5</v>
      </c>
      <c r="J8" s="35"/>
    </row>
    <row r="9" spans="1:10" x14ac:dyDescent="0.2">
      <c r="A9" t="s">
        <v>93</v>
      </c>
      <c r="B9" s="35">
        <v>0.12</v>
      </c>
      <c r="C9" s="22">
        <v>0.5</v>
      </c>
      <c r="J9" s="35"/>
    </row>
    <row r="10" spans="1:10" x14ac:dyDescent="0.2">
      <c r="A10" t="s">
        <v>82</v>
      </c>
      <c r="B10" s="35">
        <v>7.0000000000000007E-2</v>
      </c>
      <c r="C10" s="22">
        <v>0.5</v>
      </c>
      <c r="J10" s="35"/>
    </row>
    <row r="11" spans="1:10" x14ac:dyDescent="0.2">
      <c r="A11" t="s">
        <v>83</v>
      </c>
      <c r="B11" s="35">
        <v>0.1</v>
      </c>
      <c r="C11" s="22">
        <v>0.5</v>
      </c>
      <c r="J11" s="35"/>
    </row>
    <row r="12" spans="1:10" x14ac:dyDescent="0.2">
      <c r="A12" t="s">
        <v>94</v>
      </c>
      <c r="B12" s="35">
        <v>0.15</v>
      </c>
      <c r="C12" s="8">
        <v>0</v>
      </c>
      <c r="J12" s="35"/>
    </row>
    <row r="13" spans="1:10" x14ac:dyDescent="0.2">
      <c r="A13" t="s">
        <v>84</v>
      </c>
      <c r="B13" s="35">
        <v>0.12</v>
      </c>
      <c r="C13" s="22">
        <v>0.5</v>
      </c>
      <c r="J13" s="35"/>
    </row>
    <row r="14" spans="1:10" x14ac:dyDescent="0.2">
      <c r="A14" t="s">
        <v>85</v>
      </c>
      <c r="B14" s="35">
        <v>0.1</v>
      </c>
      <c r="C14" s="22">
        <v>0.5</v>
      </c>
      <c r="J14" s="35"/>
    </row>
    <row r="15" spans="1:10" x14ac:dyDescent="0.2">
      <c r="A15" t="s">
        <v>95</v>
      </c>
      <c r="B15" s="35">
        <v>0.2</v>
      </c>
      <c r="C15" s="22">
        <v>1.5</v>
      </c>
      <c r="J15" s="35"/>
    </row>
    <row r="16" spans="1:10" x14ac:dyDescent="0.2">
      <c r="A16" t="s">
        <v>86</v>
      </c>
      <c r="B16" s="35">
        <v>0.15</v>
      </c>
      <c r="C16" s="8">
        <v>0</v>
      </c>
      <c r="J16" s="35"/>
    </row>
    <row r="17" spans="1:10" x14ac:dyDescent="0.2">
      <c r="A17" t="s">
        <v>96</v>
      </c>
      <c r="B17" s="35">
        <v>0.15</v>
      </c>
      <c r="C17" s="8">
        <v>0</v>
      </c>
      <c r="J17" s="35"/>
    </row>
    <row r="18" spans="1:10" x14ac:dyDescent="0.2">
      <c r="A18" t="s">
        <v>87</v>
      </c>
      <c r="B18" s="35">
        <v>0.15</v>
      </c>
      <c r="C18" s="22">
        <v>0.5</v>
      </c>
      <c r="J18" s="35"/>
    </row>
    <row r="19" spans="1:10" x14ac:dyDescent="0.2">
      <c r="A19" t="s">
        <v>97</v>
      </c>
      <c r="B19" s="35">
        <v>0.15</v>
      </c>
      <c r="C19" s="22">
        <v>1.5</v>
      </c>
      <c r="J19" s="35"/>
    </row>
    <row r="20" spans="1:10" x14ac:dyDescent="0.2">
      <c r="A20" t="s">
        <v>88</v>
      </c>
      <c r="B20" s="35">
        <v>0.08</v>
      </c>
      <c r="C20" s="8">
        <v>0</v>
      </c>
      <c r="J20" s="35"/>
    </row>
    <row r="21" spans="1:10" x14ac:dyDescent="0.2">
      <c r="A21" t="s">
        <v>89</v>
      </c>
      <c r="B21" s="35">
        <v>0.45</v>
      </c>
      <c r="C21" s="22">
        <v>0.5</v>
      </c>
      <c r="J21" s="35"/>
    </row>
    <row r="22" spans="1:10" x14ac:dyDescent="0.2">
      <c r="A22" t="s">
        <v>90</v>
      </c>
      <c r="B22" s="35">
        <v>0.15</v>
      </c>
      <c r="C22" s="22">
        <v>0.5</v>
      </c>
      <c r="J22" s="35"/>
    </row>
    <row r="23" spans="1:10" x14ac:dyDescent="0.2">
      <c r="J23" s="35"/>
    </row>
    <row r="24" spans="1:10" x14ac:dyDescent="0.2">
      <c r="A24" t="s">
        <v>98</v>
      </c>
      <c r="J24" s="35"/>
    </row>
    <row r="25" spans="1:10" x14ac:dyDescent="0.2">
      <c r="J25" s="35"/>
    </row>
    <row r="26" spans="1:10" x14ac:dyDescent="0.2">
      <c r="J26" s="35"/>
    </row>
    <row r="27" spans="1:10" x14ac:dyDescent="0.2">
      <c r="A27" s="42" t="s">
        <v>99</v>
      </c>
      <c r="B27" s="102" t="s">
        <v>100</v>
      </c>
      <c r="C27" s="102"/>
      <c r="D27" s="102"/>
      <c r="E27" s="102"/>
      <c r="F27" s="102"/>
      <c r="J27" s="35"/>
    </row>
    <row r="28" spans="1:10" ht="45" x14ac:dyDescent="0.2">
      <c r="A28" s="16"/>
      <c r="B28" s="16" t="s">
        <v>101</v>
      </c>
      <c r="C28" s="16" t="s">
        <v>102</v>
      </c>
      <c r="D28" s="16" t="s">
        <v>109</v>
      </c>
      <c r="E28" s="16" t="s">
        <v>103</v>
      </c>
      <c r="F28" s="16" t="s">
        <v>104</v>
      </c>
      <c r="J28" s="35"/>
    </row>
    <row r="29" spans="1:10" x14ac:dyDescent="0.2">
      <c r="A29" t="s">
        <v>105</v>
      </c>
      <c r="B29" s="1">
        <v>1.01</v>
      </c>
      <c r="C29" s="22">
        <v>2.0299999999999998</v>
      </c>
      <c r="D29" s="1">
        <v>1.01</v>
      </c>
      <c r="E29" s="1">
        <v>6.86</v>
      </c>
      <c r="F29" s="1">
        <v>3.23</v>
      </c>
      <c r="J29" s="35"/>
    </row>
    <row r="30" spans="1:10" x14ac:dyDescent="0.2">
      <c r="A30" t="s">
        <v>106</v>
      </c>
      <c r="B30" s="1">
        <v>1.01</v>
      </c>
      <c r="C30" s="22">
        <v>2.0299999999999998</v>
      </c>
      <c r="D30" s="1">
        <v>1.91</v>
      </c>
      <c r="E30" s="1">
        <v>7.91</v>
      </c>
      <c r="F30" s="1">
        <v>5.82</v>
      </c>
      <c r="J30" s="35"/>
    </row>
    <row r="31" spans="1:10" x14ac:dyDescent="0.2">
      <c r="A31" t="s">
        <v>107</v>
      </c>
      <c r="B31" s="1">
        <v>1.01</v>
      </c>
      <c r="C31" s="22">
        <v>2.0299999999999998</v>
      </c>
      <c r="D31" s="1">
        <v>1.86</v>
      </c>
      <c r="E31" s="1">
        <v>6.86</v>
      </c>
      <c r="F31" s="1">
        <v>3.23</v>
      </c>
      <c r="J31" s="35"/>
    </row>
    <row r="32" spans="1:10" x14ac:dyDescent="0.2">
      <c r="A32" t="s">
        <v>108</v>
      </c>
      <c r="B32" s="1">
        <v>1.01</v>
      </c>
      <c r="C32" s="22">
        <v>2.0299999999999998</v>
      </c>
      <c r="D32" s="1">
        <v>1.91</v>
      </c>
      <c r="E32" s="1">
        <v>8.91</v>
      </c>
      <c r="F32" s="1">
        <v>7.32</v>
      </c>
    </row>
  </sheetData>
  <mergeCells count="1">
    <mergeCell ref="B27:F2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"/>
  <sheetViews>
    <sheetView topLeftCell="A5" zoomScale="85" zoomScaleNormal="85" workbookViewId="0">
      <selection activeCell="A33" sqref="A33"/>
    </sheetView>
  </sheetViews>
  <sheetFormatPr baseColWidth="10" defaultRowHeight="15" x14ac:dyDescent="0.2"/>
  <cols>
    <col min="1" max="1" width="34.83203125" customWidth="1"/>
    <col min="2" max="2" width="10.83203125" style="8"/>
  </cols>
  <sheetData>
    <row r="1" spans="1:17" x14ac:dyDescent="0.2">
      <c r="A1" s="17" t="s">
        <v>24</v>
      </c>
      <c r="B1" s="18" t="s">
        <v>23</v>
      </c>
    </row>
    <row r="2" spans="1:17" x14ac:dyDescent="0.2">
      <c r="A2" s="5" t="s">
        <v>0</v>
      </c>
      <c r="B2" s="7">
        <f>((9*26)+(3*36))/12</f>
        <v>28.5</v>
      </c>
    </row>
    <row r="4" spans="1:17" ht="45" x14ac:dyDescent="0.2">
      <c r="A4" s="14" t="s">
        <v>15</v>
      </c>
      <c r="B4" s="15" t="s">
        <v>19</v>
      </c>
      <c r="C4" s="15" t="s">
        <v>20</v>
      </c>
      <c r="D4" s="15" t="s">
        <v>21</v>
      </c>
      <c r="E4" s="16" t="s">
        <v>22</v>
      </c>
      <c r="F4" s="16"/>
      <c r="G4" s="16"/>
      <c r="H4" s="16"/>
      <c r="I4" s="16"/>
    </row>
    <row r="5" spans="1:17" x14ac:dyDescent="0.2">
      <c r="A5" t="s">
        <v>16</v>
      </c>
      <c r="B5" s="30">
        <v>20</v>
      </c>
      <c r="C5" s="28">
        <v>15</v>
      </c>
      <c r="D5" s="28">
        <v>1</v>
      </c>
      <c r="E5">
        <v>20</v>
      </c>
    </row>
    <row r="6" spans="1:17" x14ac:dyDescent="0.2">
      <c r="A6" t="s">
        <v>17</v>
      </c>
      <c r="B6" s="30">
        <v>33</v>
      </c>
      <c r="C6" s="28">
        <v>23</v>
      </c>
      <c r="D6" s="28">
        <v>2.5</v>
      </c>
      <c r="E6">
        <v>40</v>
      </c>
    </row>
    <row r="7" spans="1:17" x14ac:dyDescent="0.2">
      <c r="A7" t="s">
        <v>18</v>
      </c>
      <c r="B7" s="30">
        <v>33</v>
      </c>
      <c r="C7" s="28">
        <v>23</v>
      </c>
      <c r="D7" s="28">
        <v>5</v>
      </c>
      <c r="E7">
        <v>40</v>
      </c>
    </row>
    <row r="8" spans="1:17" x14ac:dyDescent="0.2">
      <c r="A8" t="s">
        <v>36</v>
      </c>
      <c r="B8" s="30">
        <v>45</v>
      </c>
      <c r="C8" s="28">
        <v>34</v>
      </c>
      <c r="D8" s="28">
        <v>26</v>
      </c>
      <c r="E8">
        <v>100</v>
      </c>
    </row>
    <row r="9" spans="1:17" x14ac:dyDescent="0.2">
      <c r="A9" s="20" t="s">
        <v>27</v>
      </c>
      <c r="B9" s="30">
        <v>61</v>
      </c>
      <c r="C9" s="28">
        <v>46</v>
      </c>
      <c r="D9" s="28">
        <v>46</v>
      </c>
      <c r="E9">
        <v>240</v>
      </c>
    </row>
    <row r="10" spans="1:17" x14ac:dyDescent="0.2">
      <c r="A10" s="20" t="s">
        <v>28</v>
      </c>
      <c r="B10" s="30">
        <v>120</v>
      </c>
      <c r="C10" s="28">
        <v>60</v>
      </c>
      <c r="D10" s="28">
        <v>60</v>
      </c>
      <c r="E10">
        <v>240</v>
      </c>
    </row>
    <row r="11" spans="1:17" x14ac:dyDescent="0.2">
      <c r="A11" s="20" t="s">
        <v>29</v>
      </c>
      <c r="E11">
        <v>240</v>
      </c>
    </row>
    <row r="12" spans="1:17" x14ac:dyDescent="0.2">
      <c r="A12" t="s">
        <v>30</v>
      </c>
      <c r="B12" s="8">
        <v>300</v>
      </c>
    </row>
    <row r="15" spans="1:17" x14ac:dyDescent="0.2">
      <c r="A15" s="14" t="s">
        <v>41</v>
      </c>
      <c r="B15" s="15">
        <v>100</v>
      </c>
      <c r="C15" s="14">
        <v>250</v>
      </c>
      <c r="D15" s="14">
        <v>500</v>
      </c>
      <c r="E15" s="14">
        <v>1000</v>
      </c>
      <c r="F15" s="14">
        <v>1500</v>
      </c>
      <c r="G15" s="14">
        <v>2000</v>
      </c>
      <c r="H15" s="14">
        <f>G15+1000</f>
        <v>3000</v>
      </c>
      <c r="I15" s="14">
        <f t="shared" ref="I15:Q15" si="0">H15+1000</f>
        <v>4000</v>
      </c>
      <c r="J15" s="14">
        <f t="shared" si="0"/>
        <v>5000</v>
      </c>
      <c r="K15" s="14">
        <f t="shared" si="0"/>
        <v>6000</v>
      </c>
      <c r="L15" s="14">
        <f t="shared" si="0"/>
        <v>7000</v>
      </c>
      <c r="M15" s="14">
        <f t="shared" si="0"/>
        <v>8000</v>
      </c>
      <c r="N15" s="14">
        <f t="shared" si="0"/>
        <v>9000</v>
      </c>
      <c r="O15" s="14">
        <f>N15+1000</f>
        <v>10000</v>
      </c>
      <c r="P15" s="14">
        <f t="shared" si="0"/>
        <v>11000</v>
      </c>
      <c r="Q15" s="14">
        <f t="shared" si="0"/>
        <v>12000</v>
      </c>
    </row>
    <row r="16" spans="1:17" x14ac:dyDescent="0.2">
      <c r="A16" t="s">
        <v>16</v>
      </c>
      <c r="B16" s="1">
        <v>1.64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9" x14ac:dyDescent="0.2">
      <c r="A17" t="s">
        <v>17</v>
      </c>
      <c r="B17" s="1">
        <v>1.81</v>
      </c>
      <c r="C17" s="1">
        <v>1.82</v>
      </c>
      <c r="D17" s="1">
        <v>1.95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9" x14ac:dyDescent="0.2">
      <c r="A18" t="s">
        <v>18</v>
      </c>
      <c r="B18" s="1">
        <v>2.34</v>
      </c>
      <c r="C18" s="1">
        <v>2.34</v>
      </c>
      <c r="D18" s="1">
        <v>2.34</v>
      </c>
      <c r="E18" s="1">
        <v>2.34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9" x14ac:dyDescent="0.2">
      <c r="A19" t="s">
        <v>36</v>
      </c>
      <c r="B19" s="1">
        <v>2.39</v>
      </c>
      <c r="C19" s="1">
        <v>2.39</v>
      </c>
      <c r="D19" s="1">
        <v>2.5</v>
      </c>
      <c r="E19" s="1">
        <v>3.08</v>
      </c>
      <c r="F19" s="1">
        <v>3.62</v>
      </c>
      <c r="G19" s="1">
        <v>3.66</v>
      </c>
      <c r="H19" s="1">
        <v>4.34</v>
      </c>
      <c r="I19" s="1">
        <v>4.3600000000000003</v>
      </c>
      <c r="J19" s="1">
        <v>4.37</v>
      </c>
      <c r="K19" s="1">
        <v>4.7</v>
      </c>
      <c r="L19" s="1">
        <v>4.7</v>
      </c>
      <c r="M19" s="1">
        <v>4.83</v>
      </c>
      <c r="N19" s="1">
        <v>4.83</v>
      </c>
      <c r="O19" s="1">
        <v>4.83</v>
      </c>
      <c r="P19" s="1">
        <v>4.99</v>
      </c>
      <c r="Q19" s="1">
        <v>5</v>
      </c>
    </row>
    <row r="21" spans="1:19" x14ac:dyDescent="0.2">
      <c r="A21" s="14" t="s">
        <v>42</v>
      </c>
      <c r="B21" s="15">
        <v>100</v>
      </c>
      <c r="C21" s="14">
        <v>250</v>
      </c>
      <c r="D21" s="14">
        <v>500</v>
      </c>
      <c r="E21" s="14">
        <v>1000</v>
      </c>
      <c r="F21" s="14">
        <v>1500</v>
      </c>
      <c r="G21" s="14">
        <v>2000</v>
      </c>
      <c r="H21" s="14">
        <f>G21+1000</f>
        <v>3000</v>
      </c>
      <c r="I21" s="14">
        <f t="shared" ref="I21:N21" si="1">H21+1000</f>
        <v>4000</v>
      </c>
      <c r="J21" s="14">
        <f t="shared" si="1"/>
        <v>5000</v>
      </c>
      <c r="K21" s="14">
        <f t="shared" si="1"/>
        <v>6000</v>
      </c>
      <c r="L21" s="14">
        <f t="shared" si="1"/>
        <v>7000</v>
      </c>
      <c r="M21" s="14">
        <f t="shared" si="1"/>
        <v>8000</v>
      </c>
      <c r="N21" s="14">
        <f t="shared" si="1"/>
        <v>9000</v>
      </c>
      <c r="O21" s="14">
        <f>N21+1000</f>
        <v>10000</v>
      </c>
      <c r="P21" s="14">
        <f t="shared" ref="P21:Q21" si="2">O21+1000</f>
        <v>11000</v>
      </c>
      <c r="Q21" s="14">
        <f t="shared" si="2"/>
        <v>12000</v>
      </c>
    </row>
    <row r="22" spans="1:19" x14ac:dyDescent="0.2">
      <c r="A22" t="s">
        <v>16</v>
      </c>
      <c r="B22" s="1">
        <v>1.64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9" x14ac:dyDescent="0.2">
      <c r="A23" t="s">
        <v>17</v>
      </c>
      <c r="B23" s="1">
        <v>1.81</v>
      </c>
      <c r="C23" s="1">
        <v>1.82</v>
      </c>
      <c r="D23" s="1">
        <v>1.95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x14ac:dyDescent="0.2">
      <c r="A24" t="s">
        <v>18</v>
      </c>
      <c r="B24" s="1">
        <v>2.34</v>
      </c>
      <c r="C24" s="1">
        <v>2.34</v>
      </c>
      <c r="D24" s="1">
        <v>2.34</v>
      </c>
      <c r="E24" s="1">
        <v>2.34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9" x14ac:dyDescent="0.2">
      <c r="A25" t="s">
        <v>36</v>
      </c>
      <c r="B25" s="1">
        <v>2.39</v>
      </c>
      <c r="C25" s="1">
        <v>2.39</v>
      </c>
      <c r="D25" s="1">
        <v>2.5</v>
      </c>
      <c r="E25" s="1">
        <v>3.08</v>
      </c>
      <c r="F25" s="1">
        <v>3.62</v>
      </c>
      <c r="G25" s="1">
        <v>3.66</v>
      </c>
      <c r="H25" s="1">
        <v>4.34</v>
      </c>
      <c r="I25" s="1">
        <v>4.3600000000000003</v>
      </c>
      <c r="J25" s="1">
        <v>4.37</v>
      </c>
      <c r="K25" s="1">
        <v>4.7</v>
      </c>
      <c r="L25" s="1">
        <v>4.7</v>
      </c>
      <c r="M25" s="1">
        <v>4.83</v>
      </c>
      <c r="N25" s="1">
        <v>4.83</v>
      </c>
      <c r="O25" s="1">
        <v>4.83</v>
      </c>
      <c r="P25" s="1">
        <v>4.99</v>
      </c>
      <c r="Q25" s="1">
        <v>5</v>
      </c>
    </row>
    <row r="26" spans="1:19" x14ac:dyDescent="0.2">
      <c r="A26" s="1"/>
    </row>
    <row r="27" spans="1:19" x14ac:dyDescent="0.2">
      <c r="A27" s="14" t="s">
        <v>43</v>
      </c>
      <c r="B27" s="15">
        <v>1000</v>
      </c>
      <c r="C27" s="14">
        <v>1250</v>
      </c>
      <c r="D27" s="14">
        <v>1500</v>
      </c>
      <c r="E27" s="14">
        <v>1750</v>
      </c>
      <c r="F27" s="14">
        <v>2000</v>
      </c>
      <c r="G27" s="14">
        <v>3000</v>
      </c>
      <c r="H27" s="14">
        <f>G27+1000</f>
        <v>4000</v>
      </c>
      <c r="I27" s="14">
        <f t="shared" ref="I27" si="3">H27+1000</f>
        <v>5000</v>
      </c>
      <c r="J27" s="14">
        <f t="shared" ref="J27" si="4">I27+1000</f>
        <v>6000</v>
      </c>
      <c r="K27" s="14">
        <f t="shared" ref="K27" si="5">J27+1000</f>
        <v>7000</v>
      </c>
      <c r="L27" s="14">
        <f t="shared" ref="L27" si="6">K27+1000</f>
        <v>8000</v>
      </c>
      <c r="M27" s="14">
        <f t="shared" ref="M27" si="7">L27+1000</f>
        <v>9000</v>
      </c>
      <c r="N27" s="14">
        <f t="shared" ref="N27" si="8">M27+1000</f>
        <v>10000</v>
      </c>
      <c r="O27" s="14">
        <v>15000</v>
      </c>
      <c r="P27" s="14">
        <v>20000</v>
      </c>
      <c r="Q27" s="14">
        <v>25000</v>
      </c>
      <c r="R27" s="14">
        <v>30000</v>
      </c>
      <c r="S27" s="14"/>
    </row>
    <row r="28" spans="1:19" x14ac:dyDescent="0.2">
      <c r="A28" t="s">
        <v>27</v>
      </c>
      <c r="B28" s="1">
        <v>5.03</v>
      </c>
      <c r="C28" s="1">
        <v>5.14</v>
      </c>
      <c r="D28" s="1">
        <v>5.18</v>
      </c>
      <c r="E28" s="1">
        <v>5.18</v>
      </c>
      <c r="F28" s="1">
        <v>5.25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x14ac:dyDescent="0.2">
      <c r="A29" t="s">
        <v>28</v>
      </c>
      <c r="B29" s="22">
        <v>5.01</v>
      </c>
      <c r="C29" s="22">
        <v>5.21</v>
      </c>
      <c r="D29" s="22">
        <v>5.21</v>
      </c>
      <c r="E29" s="22">
        <v>5.21</v>
      </c>
      <c r="F29" s="22">
        <v>5.21</v>
      </c>
      <c r="G29" s="22">
        <v>6.13</v>
      </c>
      <c r="H29" s="22">
        <v>6.18</v>
      </c>
      <c r="I29" s="22">
        <v>6.18</v>
      </c>
      <c r="J29" s="22">
        <v>6.38</v>
      </c>
      <c r="K29" s="22">
        <v>6.47</v>
      </c>
      <c r="L29" s="22">
        <v>6.52</v>
      </c>
      <c r="M29" s="22">
        <v>6.52</v>
      </c>
      <c r="N29" s="22">
        <v>6.55</v>
      </c>
      <c r="O29" s="22">
        <v>7.1</v>
      </c>
      <c r="P29" s="22">
        <v>7.55</v>
      </c>
      <c r="Q29" s="22">
        <v>8.5500000000000007</v>
      </c>
      <c r="R29" s="22">
        <v>8.5500000000000007</v>
      </c>
      <c r="S29" s="22"/>
    </row>
    <row r="30" spans="1:19" x14ac:dyDescent="0.2">
      <c r="A30" t="s">
        <v>29</v>
      </c>
      <c r="B30" s="22">
        <v>6.71</v>
      </c>
      <c r="C30" s="22">
        <v>6.71</v>
      </c>
      <c r="D30" s="22">
        <v>6.71</v>
      </c>
      <c r="E30" s="22">
        <v>6.71</v>
      </c>
      <c r="F30" s="22">
        <v>6.71</v>
      </c>
      <c r="G30" s="22">
        <v>6.71</v>
      </c>
      <c r="H30" s="22">
        <v>6.71</v>
      </c>
      <c r="I30" s="22">
        <v>6.71</v>
      </c>
      <c r="J30" s="22">
        <v>7.74</v>
      </c>
      <c r="K30" s="22">
        <v>7.74</v>
      </c>
      <c r="L30" s="22">
        <v>7.74</v>
      </c>
      <c r="M30" s="22">
        <v>7.74</v>
      </c>
      <c r="N30" s="22">
        <v>7.74</v>
      </c>
      <c r="O30" s="22">
        <v>8.2799999999999994</v>
      </c>
      <c r="P30" s="22">
        <v>8.75</v>
      </c>
      <c r="Q30" s="22">
        <v>9.69</v>
      </c>
      <c r="R30" s="22">
        <v>9.7100000000000009</v>
      </c>
      <c r="S30" s="22"/>
    </row>
    <row r="32" spans="1:19" x14ac:dyDescent="0.2">
      <c r="A32" s="1"/>
      <c r="B32" s="22"/>
      <c r="C32" s="1"/>
      <c r="D32" s="1"/>
    </row>
    <row r="33" spans="1:18" x14ac:dyDescent="0.2">
      <c r="A33" s="1"/>
      <c r="B33" s="23">
        <v>1000</v>
      </c>
      <c r="C33" s="1">
        <f t="array" ref="C33">MIN(IF(B15:G15&gt;=B33,B15:G15))</f>
        <v>1000</v>
      </c>
      <c r="D33" s="1"/>
    </row>
    <row r="34" spans="1:18" x14ac:dyDescent="0.2">
      <c r="A34" s="1"/>
      <c r="B34" s="23"/>
      <c r="C34" s="1"/>
      <c r="D34" s="1"/>
    </row>
    <row r="35" spans="1:18" x14ac:dyDescent="0.2">
      <c r="A35" s="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x14ac:dyDescent="0.2">
      <c r="A36" s="1"/>
      <c r="B36" s="22"/>
      <c r="C36" s="1"/>
      <c r="D36" s="1"/>
    </row>
    <row r="37" spans="1:18" x14ac:dyDescent="0.2">
      <c r="A37" s="1"/>
      <c r="B37" s="22"/>
      <c r="C37" s="1"/>
    </row>
    <row r="38" spans="1:18" x14ac:dyDescent="0.2">
      <c r="A38" s="1"/>
      <c r="B38" s="22"/>
      <c r="C38" s="1"/>
    </row>
    <row r="39" spans="1:18" x14ac:dyDescent="0.2">
      <c r="A39" s="1"/>
      <c r="B39" s="22"/>
      <c r="C39" s="1"/>
    </row>
    <row r="40" spans="1:18" x14ac:dyDescent="0.2">
      <c r="A40" s="1"/>
      <c r="B40" s="22"/>
      <c r="C40" s="1"/>
    </row>
    <row r="41" spans="1:18" x14ac:dyDescent="0.2">
      <c r="A41" s="1"/>
      <c r="B41" s="22"/>
      <c r="C41" s="1"/>
    </row>
    <row r="42" spans="1:18" x14ac:dyDescent="0.2">
      <c r="A42" s="1"/>
      <c r="B42" s="22"/>
      <c r="C42" s="1"/>
    </row>
    <row r="43" spans="1:18" x14ac:dyDescent="0.2">
      <c r="B43" s="22"/>
      <c r="C43" s="1"/>
    </row>
    <row r="44" spans="1:18" x14ac:dyDescent="0.2">
      <c r="B44" s="22"/>
    </row>
    <row r="45" spans="1:18" x14ac:dyDescent="0.2">
      <c r="B45" s="2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7" sqref="A7"/>
    </sheetView>
  </sheetViews>
  <sheetFormatPr baseColWidth="10" defaultRowHeight="15" x14ac:dyDescent="0.2"/>
  <cols>
    <col min="1" max="1" width="22.5" customWidth="1"/>
  </cols>
  <sheetData>
    <row r="1" spans="1:1" x14ac:dyDescent="0.2">
      <c r="A1" t="s">
        <v>13</v>
      </c>
    </row>
    <row r="2" spans="1:1" x14ac:dyDescent="0.2">
      <c r="A2" t="s">
        <v>12</v>
      </c>
    </row>
    <row r="4" spans="1:1" x14ac:dyDescent="0.2">
      <c r="A4" t="s">
        <v>51</v>
      </c>
    </row>
    <row r="5" spans="1:1" x14ac:dyDescent="0.2">
      <c r="A5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Hinweise</vt:lpstr>
      <vt:lpstr>Einkauf</vt:lpstr>
      <vt:lpstr>FBA</vt:lpstr>
      <vt:lpstr>Verkauf (netto)</vt:lpstr>
      <vt:lpstr>Verkauf (KU)</vt:lpstr>
      <vt:lpstr>Auswirkung Retouren</vt:lpstr>
      <vt:lpstr>Verkaufsprovisionen</vt:lpstr>
      <vt:lpstr>FBA Kosten</vt:lpstr>
      <vt:lpstr>DropDown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Trutz</dc:creator>
  <cp:lastModifiedBy>Microsoft Office-Anwender</cp:lastModifiedBy>
  <dcterms:created xsi:type="dcterms:W3CDTF">2015-12-11T07:46:14Z</dcterms:created>
  <dcterms:modified xsi:type="dcterms:W3CDTF">2018-04-11T07:52:44Z</dcterms:modified>
</cp:coreProperties>
</file>